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782EFFB-F9FC-43FE-A301-D503FB93646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" i="1" l="1"/>
  <c r="F23" i="1"/>
  <c r="E31" i="1"/>
  <c r="F31" i="1"/>
  <c r="E39" i="1"/>
  <c r="F39" i="1"/>
  <c r="D9" i="1"/>
  <c r="C9" i="1"/>
  <c r="E40" i="1"/>
  <c r="F4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2" i="1"/>
  <c r="G12" i="2"/>
  <c r="C12" i="2"/>
  <c r="G32" i="2"/>
  <c r="C32" i="2"/>
  <c r="G11" i="2"/>
  <c r="C11" i="2"/>
  <c r="G31" i="2"/>
  <c r="C31" i="2"/>
  <c r="E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E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E15" i="2"/>
  <c r="G14" i="2"/>
  <c r="C14" i="2"/>
  <c r="G13" i="2"/>
  <c r="C13" i="2"/>
  <c r="H12" i="2"/>
  <c r="B12" i="2"/>
  <c r="D12" i="2"/>
  <c r="A12" i="2"/>
  <c r="H32" i="2"/>
  <c r="D32" i="2"/>
  <c r="B32" i="2"/>
  <c r="A32" i="2"/>
  <c r="H11" i="2"/>
  <c r="B11" i="2"/>
  <c r="D11" i="2"/>
  <c r="A11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Q43" i="1"/>
  <c r="Q41" i="1"/>
  <c r="C8" i="1"/>
  <c r="C7" i="1"/>
  <c r="E21" i="1"/>
  <c r="F17" i="1"/>
  <c r="C17" i="1"/>
  <c r="Q40" i="1"/>
  <c r="E22" i="2"/>
  <c r="E11" i="2"/>
  <c r="E13" i="2"/>
  <c r="F21" i="1"/>
  <c r="E19" i="2"/>
  <c r="E25" i="2"/>
  <c r="E20" i="2"/>
  <c r="E43" i="1"/>
  <c r="E33" i="1"/>
  <c r="F33" i="1"/>
  <c r="G33" i="1"/>
  <c r="I33" i="1"/>
  <c r="E25" i="1"/>
  <c r="F25" i="1"/>
  <c r="G25" i="1"/>
  <c r="I25" i="1"/>
  <c r="G41" i="1"/>
  <c r="J41" i="1"/>
  <c r="E38" i="1"/>
  <c r="F38" i="1"/>
  <c r="G38" i="1"/>
  <c r="I38" i="1"/>
  <c r="E30" i="1"/>
  <c r="F30" i="1"/>
  <c r="G30" i="1"/>
  <c r="I30" i="1"/>
  <c r="E22" i="1"/>
  <c r="F22" i="1"/>
  <c r="G22" i="1"/>
  <c r="I22" i="1"/>
  <c r="E35" i="1"/>
  <c r="F35" i="1"/>
  <c r="G35" i="1"/>
  <c r="I35" i="1"/>
  <c r="E27" i="1"/>
  <c r="F27" i="1"/>
  <c r="G27" i="1"/>
  <c r="I27" i="1"/>
  <c r="E28" i="1"/>
  <c r="F28" i="1"/>
  <c r="E41" i="1"/>
  <c r="F41" i="1"/>
  <c r="E42" i="1"/>
  <c r="F42" i="1"/>
  <c r="G42" i="1"/>
  <c r="I42" i="1"/>
  <c r="E32" i="1"/>
  <c r="E24" i="1"/>
  <c r="G21" i="1"/>
  <c r="G40" i="1"/>
  <c r="H40" i="1"/>
  <c r="G39" i="1"/>
  <c r="I39" i="1"/>
  <c r="E37" i="1"/>
  <c r="G31" i="1"/>
  <c r="I31" i="1"/>
  <c r="E29" i="1"/>
  <c r="G23" i="1"/>
  <c r="I23" i="1"/>
  <c r="E36" i="1"/>
  <c r="F36" i="1"/>
  <c r="G36" i="1"/>
  <c r="I36" i="1"/>
  <c r="E34" i="1"/>
  <c r="G28" i="1"/>
  <c r="I28" i="1"/>
  <c r="E26" i="1"/>
  <c r="E14" i="2"/>
  <c r="E28" i="2"/>
  <c r="F29" i="1"/>
  <c r="G29" i="1"/>
  <c r="I29" i="1"/>
  <c r="E21" i="2"/>
  <c r="I21" i="1"/>
  <c r="E12" i="2"/>
  <c r="F43" i="1"/>
  <c r="G43" i="1"/>
  <c r="J43" i="1"/>
  <c r="F26" i="1"/>
  <c r="G26" i="1"/>
  <c r="I26" i="1"/>
  <c r="E18" i="2"/>
  <c r="E29" i="2"/>
  <c r="F37" i="1"/>
  <c r="G37" i="1"/>
  <c r="I37" i="1"/>
  <c r="F24" i="1"/>
  <c r="G24" i="1"/>
  <c r="E16" i="2"/>
  <c r="E32" i="2"/>
  <c r="E27" i="2"/>
  <c r="F34" i="1"/>
  <c r="G34" i="1"/>
  <c r="I34" i="1"/>
  <c r="E26" i="2"/>
  <c r="F32" i="1"/>
  <c r="G32" i="1"/>
  <c r="I32" i="1"/>
  <c r="E24" i="2"/>
  <c r="E30" i="2"/>
  <c r="E17" i="2"/>
  <c r="I24" i="1"/>
  <c r="C11" i="1"/>
  <c r="C12" i="1"/>
  <c r="C16" i="1" l="1"/>
  <c r="D18" i="1" s="1"/>
  <c r="O26" i="1"/>
  <c r="O32" i="1"/>
  <c r="O30" i="1"/>
  <c r="O28" i="1"/>
  <c r="O41" i="1"/>
  <c r="O25" i="1"/>
  <c r="O21" i="1"/>
  <c r="O27" i="1"/>
  <c r="O35" i="1"/>
  <c r="O34" i="1"/>
  <c r="O42" i="1"/>
  <c r="O38" i="1"/>
  <c r="C15" i="1"/>
  <c r="O23" i="1"/>
  <c r="O37" i="1"/>
  <c r="O39" i="1"/>
  <c r="O43" i="1"/>
  <c r="O22" i="1"/>
  <c r="O29" i="1"/>
  <c r="O31" i="1"/>
  <c r="O33" i="1"/>
  <c r="O36" i="1"/>
  <c r="O24" i="1"/>
  <c r="O40" i="1"/>
  <c r="C18" i="1" l="1"/>
  <c r="F18" i="1"/>
  <c r="F19" i="1" s="1"/>
</calcChain>
</file>

<file path=xl/sharedStrings.xml><?xml version="1.0" encoding="utf-8"?>
<sst xmlns="http://schemas.openxmlformats.org/spreadsheetml/2006/main" count="277" uniqueCount="133">
  <si>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</si>
  <si>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</si>
  <si>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</si>
  <si>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</si>
  <si>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</si>
  <si>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</si>
  <si>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</si>
  <si>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</si>
  <si>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</si>
  <si>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</si>
  <si>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</si>
  <si>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</si>
  <si>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</si>
  <si>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</si>
  <si>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</si>
  <si>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</si>
  <si>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</si>
  <si>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</si>
  <si>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</si>
  <si>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</si>
  <si>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</si>
  <si>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</si>
  <si>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</si>
  <si>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</si>
  <si>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</si>
  <si>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</si>
  <si>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</si>
  <si>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</si>
  <si>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</si>
  <si>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</si>
  <si>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</si>
  <si>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</si>
  <si>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</si>
  <si>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</si>
  <si>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</si>
  <si>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V0537 Cyg / GSC 3599-0780</t>
  </si>
  <si>
    <t>IBVS 5931</t>
  </si>
  <si>
    <t>I</t>
  </si>
  <si>
    <t xml:space="preserve">EA/SD     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</si>
  <si>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</si>
  <si>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</si>
  <si>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</si>
  <si>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</si>
  <si>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</si>
  <si>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</si>
  <si>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</si>
  <si>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</si>
  <si>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</si>
  <si>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</si>
  <si>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</si>
  <si>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</si>
  <si>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</si>
  <si>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2428408.47 </t>
  </si>
  <si>
    <t> 27.08.1936 23:16 </t>
  </si>
  <si>
    <t> -0.02 </t>
  </si>
  <si>
    <t>P </t>
  </si>
  <si>
    <t> N.B.Perova </t>
  </si>
  <si>
    <t> PZ 7.259 </t>
  </si>
  <si>
    <t>2429850.28 </t>
  </si>
  <si>
    <t> 08.08.1940 18:43 </t>
  </si>
  <si>
    <t>2430164.465 </t>
  </si>
  <si>
    <t> 18.06.1941 23:09 </t>
  </si>
  <si>
    <t> 0.114 </t>
  </si>
  <si>
    <t> E.Rohlfs </t>
  </si>
  <si>
    <t> VSS 1.488 </t>
  </si>
  <si>
    <t>2431030.418 </t>
  </si>
  <si>
    <t> 01.11.1943 22:01 </t>
  </si>
  <si>
    <t> 0.035 </t>
  </si>
  <si>
    <t>2432767.32 </t>
  </si>
  <si>
    <t> 03.08.1948 19:40 </t>
  </si>
  <si>
    <t> 0.11 </t>
  </si>
  <si>
    <t>2432800.64 </t>
  </si>
  <si>
    <t> 06.09.1948 03:21 </t>
  </si>
  <si>
    <t> 0.12 </t>
  </si>
  <si>
    <t>2432824.39 </t>
  </si>
  <si>
    <t> 29.09.1948 21:21 </t>
  </si>
  <si>
    <t> 0.08 </t>
  </si>
  <si>
    <t>2432829.17 </t>
  </si>
  <si>
    <t> 04.10.1948 16:04 </t>
  </si>
  <si>
    <t> 0.10 </t>
  </si>
  <si>
    <t>2432862.442 </t>
  </si>
  <si>
    <t> 06.11.1948 22:36 </t>
  </si>
  <si>
    <t> 0.067 </t>
  </si>
  <si>
    <t>V </t>
  </si>
  <si>
    <t> C.Hoffmeister </t>
  </si>
  <si>
    <t>2432881.450 </t>
  </si>
  <si>
    <t> 25.11.1948 22:48 </t>
  </si>
  <si>
    <t> 0.041 </t>
  </si>
  <si>
    <t>2432886.380 </t>
  </si>
  <si>
    <t> 30.11.1948 21:07 </t>
  </si>
  <si>
    <t> 0.213 </t>
  </si>
  <si>
    <t>2433219.37 </t>
  </si>
  <si>
    <t> 29.10.1949 20:52 </t>
  </si>
  <si>
    <t>2433414.520 </t>
  </si>
  <si>
    <t> 13.05.1950 00:28 </t>
  </si>
  <si>
    <t> 0.168 </t>
  </si>
  <si>
    <t>2433452.463 </t>
  </si>
  <si>
    <t> 19.06.1950 23:06 </t>
  </si>
  <si>
    <t> 0.044 </t>
  </si>
  <si>
    <t>2433471.460 </t>
  </si>
  <si>
    <t> 08.07.1950 23:02 </t>
  </si>
  <si>
    <t> 0.007 </t>
  </si>
  <si>
    <t>2433495.442 </t>
  </si>
  <si>
    <t> 01.08.1950 22:36 </t>
  </si>
  <si>
    <t> 0.197 </t>
  </si>
  <si>
    <t>2433509.572 </t>
  </si>
  <si>
    <t> 16.08.1950 01:43 </t>
  </si>
  <si>
    <t> 0.052 </t>
  </si>
  <si>
    <t>2433514.475 </t>
  </si>
  <si>
    <t> 20.08.1950 23:24 </t>
  </si>
  <si>
    <t> 0.196 </t>
  </si>
  <si>
    <t>2437587.680 </t>
  </si>
  <si>
    <t> 15.10.1961 04:19 </t>
  </si>
  <si>
    <t> 0.194 </t>
  </si>
  <si>
    <t> P.Ahnert </t>
  </si>
  <si>
    <t> MVS 712 </t>
  </si>
  <si>
    <t>2454104.4789 </t>
  </si>
  <si>
    <t> 03.01.2007 23:29 </t>
  </si>
  <si>
    <t> 0.5169 </t>
  </si>
  <si>
    <t>C </t>
  </si>
  <si>
    <t> P.Zasche (ESA INTEGRAL) </t>
  </si>
  <si>
    <t>IBVS 5931 </t>
  </si>
  <si>
    <t>2455108.5259 </t>
  </si>
  <si>
    <t> 04.10.2009 00:37 </t>
  </si>
  <si>
    <t> 0.5373 </t>
  </si>
  <si>
    <t>-I</t>
  </si>
  <si>
    <t> F.Agerer </t>
  </si>
  <si>
    <t>BAVM 212 </t>
  </si>
  <si>
    <t>2455460.6384 </t>
  </si>
  <si>
    <t> 21.09.2010 03:19 </t>
  </si>
  <si>
    <t>5685</t>
  </si>
  <si>
    <t> 0.5267 </t>
  </si>
  <si>
    <t>BAVM 215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</si>
</sst>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1" xfId="0" applyBorder="1">
      <alignment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V0537 Cyg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4.3E-3</c:v>
                  </c:pt>
                  <c:pt idx="21">
                    <c:v>0</c:v>
                  </c:pt>
                  <c:pt idx="22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4.3E-3</c:v>
                  </c:pt>
                  <c:pt idx="21">
                    <c:v>0</c:v>
                  </c:pt>
                  <c:pt idx="2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-5063</c:v>
                </c:pt>
                <c:pt idx="1">
                  <c:v>-4760</c:v>
                </c:pt>
                <c:pt idx="2">
                  <c:v>-4694</c:v>
                </c:pt>
                <c:pt idx="3">
                  <c:v>-4512</c:v>
                </c:pt>
                <c:pt idx="4">
                  <c:v>-4147</c:v>
                </c:pt>
                <c:pt idx="5">
                  <c:v>-4140</c:v>
                </c:pt>
                <c:pt idx="6">
                  <c:v>-4135</c:v>
                </c:pt>
                <c:pt idx="7">
                  <c:v>-4134</c:v>
                </c:pt>
                <c:pt idx="8">
                  <c:v>-4127</c:v>
                </c:pt>
                <c:pt idx="9">
                  <c:v>-4123</c:v>
                </c:pt>
                <c:pt idx="10">
                  <c:v>-4122</c:v>
                </c:pt>
                <c:pt idx="11">
                  <c:v>-4052</c:v>
                </c:pt>
                <c:pt idx="12">
                  <c:v>-4011</c:v>
                </c:pt>
                <c:pt idx="13">
                  <c:v>-4003</c:v>
                </c:pt>
                <c:pt idx="14">
                  <c:v>-3999</c:v>
                </c:pt>
                <c:pt idx="15">
                  <c:v>-3994</c:v>
                </c:pt>
                <c:pt idx="16">
                  <c:v>-3991</c:v>
                </c:pt>
                <c:pt idx="17">
                  <c:v>-3990</c:v>
                </c:pt>
                <c:pt idx="18">
                  <c:v>-3134</c:v>
                </c:pt>
                <c:pt idx="19">
                  <c:v>0</c:v>
                </c:pt>
                <c:pt idx="20">
                  <c:v>337</c:v>
                </c:pt>
                <c:pt idx="21">
                  <c:v>548</c:v>
                </c:pt>
                <c:pt idx="22">
                  <c:v>622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65-4DE7-924B-E7DB2CCF219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4.3E-3</c:v>
                  </c:pt>
                  <c:pt idx="21">
                    <c:v>0</c:v>
                  </c:pt>
                  <c:pt idx="2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4.3E-3</c:v>
                  </c:pt>
                  <c:pt idx="21">
                    <c:v>0</c:v>
                  </c:pt>
                  <c:pt idx="2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-5063</c:v>
                </c:pt>
                <c:pt idx="1">
                  <c:v>-4760</c:v>
                </c:pt>
                <c:pt idx="2">
                  <c:v>-4694</c:v>
                </c:pt>
                <c:pt idx="3">
                  <c:v>-4512</c:v>
                </c:pt>
                <c:pt idx="4">
                  <c:v>-4147</c:v>
                </c:pt>
                <c:pt idx="5">
                  <c:v>-4140</c:v>
                </c:pt>
                <c:pt idx="6">
                  <c:v>-4135</c:v>
                </c:pt>
                <c:pt idx="7">
                  <c:v>-4134</c:v>
                </c:pt>
                <c:pt idx="8">
                  <c:v>-4127</c:v>
                </c:pt>
                <c:pt idx="9">
                  <c:v>-4123</c:v>
                </c:pt>
                <c:pt idx="10">
                  <c:v>-4122</c:v>
                </c:pt>
                <c:pt idx="11">
                  <c:v>-4052</c:v>
                </c:pt>
                <c:pt idx="12">
                  <c:v>-4011</c:v>
                </c:pt>
                <c:pt idx="13">
                  <c:v>-4003</c:v>
                </c:pt>
                <c:pt idx="14">
                  <c:v>-3999</c:v>
                </c:pt>
                <c:pt idx="15">
                  <c:v>-3994</c:v>
                </c:pt>
                <c:pt idx="16">
                  <c:v>-3991</c:v>
                </c:pt>
                <c:pt idx="17">
                  <c:v>-3990</c:v>
                </c:pt>
                <c:pt idx="18">
                  <c:v>-3134</c:v>
                </c:pt>
                <c:pt idx="19">
                  <c:v>0</c:v>
                </c:pt>
                <c:pt idx="20">
                  <c:v>337</c:v>
                </c:pt>
                <c:pt idx="21">
                  <c:v>548</c:v>
                </c:pt>
                <c:pt idx="22">
                  <c:v>622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-4.374400000233436E-2</c:v>
                </c:pt>
                <c:pt idx="1">
                  <c:v>-6.2880000004952308E-2</c:v>
                </c:pt>
                <c:pt idx="2">
                  <c:v>6.0327999999572057E-2</c:v>
                </c:pt>
                <c:pt idx="3">
                  <c:v>-3.5856000002240762E-2</c:v>
                </c:pt>
                <c:pt idx="4">
                  <c:v>9.2639999966195319E-3</c:v>
                </c:pt>
                <c:pt idx="5">
                  <c:v>1.9679999997606501E-2</c:v>
                </c:pt>
                <c:pt idx="6">
                  <c:v>-2.2880000004079193E-2</c:v>
                </c:pt>
                <c:pt idx="7">
                  <c:v>-1.3920000055804849E-3</c:v>
                </c:pt>
                <c:pt idx="8">
                  <c:v>-3.8976000003458466E-2</c:v>
                </c:pt>
                <c:pt idx="9">
                  <c:v>-6.5024000010453165E-2</c:v>
                </c:pt>
                <c:pt idx="10">
                  <c:v>0.10646399999677669</c:v>
                </c:pt>
                <c:pt idx="11">
                  <c:v>6.2400000024354085E-4</c:v>
                </c:pt>
                <c:pt idx="12">
                  <c:v>5.1631999995152E-2</c:v>
                </c:pt>
                <c:pt idx="13">
                  <c:v>-7.3464000000967644E-2</c:v>
                </c:pt>
                <c:pt idx="14">
                  <c:v>-0.11051200000656536</c:v>
                </c:pt>
                <c:pt idx="15">
                  <c:v>7.8927999995357823E-2</c:v>
                </c:pt>
                <c:pt idx="16">
                  <c:v>-6.6608000000996981E-2</c:v>
                </c:pt>
                <c:pt idx="17">
                  <c:v>7.7879999997094274E-2</c:v>
                </c:pt>
                <c:pt idx="18">
                  <c:v>-3.3920000059879385E-3</c:v>
                </c:pt>
                <c:pt idx="21">
                  <c:v>1.3239999971119687E-3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65-4DE7-924B-E7DB2CCF219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4.3E-3</c:v>
                  </c:pt>
                  <c:pt idx="21">
                    <c:v>0</c:v>
                  </c:pt>
                  <c:pt idx="2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4.3E-3</c:v>
                  </c:pt>
                  <c:pt idx="21">
                    <c:v>0</c:v>
                  </c:pt>
                  <c:pt idx="2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-5063</c:v>
                </c:pt>
                <c:pt idx="1">
                  <c:v>-4760</c:v>
                </c:pt>
                <c:pt idx="2">
                  <c:v>-4694</c:v>
                </c:pt>
                <c:pt idx="3">
                  <c:v>-4512</c:v>
                </c:pt>
                <c:pt idx="4">
                  <c:v>-4147</c:v>
                </c:pt>
                <c:pt idx="5">
                  <c:v>-4140</c:v>
                </c:pt>
                <c:pt idx="6">
                  <c:v>-4135</c:v>
                </c:pt>
                <c:pt idx="7">
                  <c:v>-4134</c:v>
                </c:pt>
                <c:pt idx="8">
                  <c:v>-4127</c:v>
                </c:pt>
                <c:pt idx="9">
                  <c:v>-4123</c:v>
                </c:pt>
                <c:pt idx="10">
                  <c:v>-4122</c:v>
                </c:pt>
                <c:pt idx="11">
                  <c:v>-4052</c:v>
                </c:pt>
                <c:pt idx="12">
                  <c:v>-4011</c:v>
                </c:pt>
                <c:pt idx="13">
                  <c:v>-4003</c:v>
                </c:pt>
                <c:pt idx="14">
                  <c:v>-3999</c:v>
                </c:pt>
                <c:pt idx="15">
                  <c:v>-3994</c:v>
                </c:pt>
                <c:pt idx="16">
                  <c:v>-3991</c:v>
                </c:pt>
                <c:pt idx="17">
                  <c:v>-3990</c:v>
                </c:pt>
                <c:pt idx="18">
                  <c:v>-3134</c:v>
                </c:pt>
                <c:pt idx="19">
                  <c:v>0</c:v>
                </c:pt>
                <c:pt idx="20">
                  <c:v>337</c:v>
                </c:pt>
                <c:pt idx="21">
                  <c:v>548</c:v>
                </c:pt>
                <c:pt idx="22">
                  <c:v>622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0">
                  <c:v>3.5600000410340726E-4</c:v>
                </c:pt>
                <c:pt idx="22">
                  <c:v>-1.6063999995822087E-2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65-4DE7-924B-E7DB2CCF219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4.3E-3</c:v>
                  </c:pt>
                  <c:pt idx="21">
                    <c:v>0</c:v>
                  </c:pt>
                  <c:pt idx="2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4.3E-3</c:v>
                  </c:pt>
                  <c:pt idx="21">
                    <c:v>0</c:v>
                  </c:pt>
                  <c:pt idx="2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-5063</c:v>
                </c:pt>
                <c:pt idx="1">
                  <c:v>-4760</c:v>
                </c:pt>
                <c:pt idx="2">
                  <c:v>-4694</c:v>
                </c:pt>
                <c:pt idx="3">
                  <c:v>-4512</c:v>
                </c:pt>
                <c:pt idx="4">
                  <c:v>-4147</c:v>
                </c:pt>
                <c:pt idx="5">
                  <c:v>-4140</c:v>
                </c:pt>
                <c:pt idx="6">
                  <c:v>-4135</c:v>
                </c:pt>
                <c:pt idx="7">
                  <c:v>-4134</c:v>
                </c:pt>
                <c:pt idx="8">
                  <c:v>-4127</c:v>
                </c:pt>
                <c:pt idx="9">
                  <c:v>-4123</c:v>
                </c:pt>
                <c:pt idx="10">
                  <c:v>-4122</c:v>
                </c:pt>
                <c:pt idx="11">
                  <c:v>-4052</c:v>
                </c:pt>
                <c:pt idx="12">
                  <c:v>-4011</c:v>
                </c:pt>
                <c:pt idx="13">
                  <c:v>-4003</c:v>
                </c:pt>
                <c:pt idx="14">
                  <c:v>-3999</c:v>
                </c:pt>
                <c:pt idx="15">
                  <c:v>-3994</c:v>
                </c:pt>
                <c:pt idx="16">
                  <c:v>-3991</c:v>
                </c:pt>
                <c:pt idx="17">
                  <c:v>-3990</c:v>
                </c:pt>
                <c:pt idx="18">
                  <c:v>-3134</c:v>
                </c:pt>
                <c:pt idx="19">
                  <c:v>0</c:v>
                </c:pt>
                <c:pt idx="20">
                  <c:v>337</c:v>
                </c:pt>
                <c:pt idx="21">
                  <c:v>548</c:v>
                </c:pt>
                <c:pt idx="22">
                  <c:v>622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65-4DE7-924B-E7DB2CCF219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4.3E-3</c:v>
                  </c:pt>
                  <c:pt idx="21">
                    <c:v>0</c:v>
                  </c:pt>
                  <c:pt idx="2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4.3E-3</c:v>
                  </c:pt>
                  <c:pt idx="21">
                    <c:v>0</c:v>
                  </c:pt>
                  <c:pt idx="2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-5063</c:v>
                </c:pt>
                <c:pt idx="1">
                  <c:v>-4760</c:v>
                </c:pt>
                <c:pt idx="2">
                  <c:v>-4694</c:v>
                </c:pt>
                <c:pt idx="3">
                  <c:v>-4512</c:v>
                </c:pt>
                <c:pt idx="4">
                  <c:v>-4147</c:v>
                </c:pt>
                <c:pt idx="5">
                  <c:v>-4140</c:v>
                </c:pt>
                <c:pt idx="6">
                  <c:v>-4135</c:v>
                </c:pt>
                <c:pt idx="7">
                  <c:v>-4134</c:v>
                </c:pt>
                <c:pt idx="8">
                  <c:v>-4127</c:v>
                </c:pt>
                <c:pt idx="9">
                  <c:v>-4123</c:v>
                </c:pt>
                <c:pt idx="10">
                  <c:v>-4122</c:v>
                </c:pt>
                <c:pt idx="11">
                  <c:v>-4052</c:v>
                </c:pt>
                <c:pt idx="12">
                  <c:v>-4011</c:v>
                </c:pt>
                <c:pt idx="13">
                  <c:v>-4003</c:v>
                </c:pt>
                <c:pt idx="14">
                  <c:v>-3999</c:v>
                </c:pt>
                <c:pt idx="15">
                  <c:v>-3994</c:v>
                </c:pt>
                <c:pt idx="16">
                  <c:v>-3991</c:v>
                </c:pt>
                <c:pt idx="17">
                  <c:v>-3990</c:v>
                </c:pt>
                <c:pt idx="18">
                  <c:v>-3134</c:v>
                </c:pt>
                <c:pt idx="19">
                  <c:v>0</c:v>
                </c:pt>
                <c:pt idx="20">
                  <c:v>337</c:v>
                </c:pt>
                <c:pt idx="21">
                  <c:v>548</c:v>
                </c:pt>
                <c:pt idx="22">
                  <c:v>622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65-4DE7-924B-E7DB2CCF219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4.3E-3</c:v>
                  </c:pt>
                  <c:pt idx="21">
                    <c:v>0</c:v>
                  </c:pt>
                  <c:pt idx="2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4.3E-3</c:v>
                  </c:pt>
                  <c:pt idx="21">
                    <c:v>0</c:v>
                  </c:pt>
                  <c:pt idx="2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-5063</c:v>
                </c:pt>
                <c:pt idx="1">
                  <c:v>-4760</c:v>
                </c:pt>
                <c:pt idx="2">
                  <c:v>-4694</c:v>
                </c:pt>
                <c:pt idx="3">
                  <c:v>-4512</c:v>
                </c:pt>
                <c:pt idx="4">
                  <c:v>-4147</c:v>
                </c:pt>
                <c:pt idx="5">
                  <c:v>-4140</c:v>
                </c:pt>
                <c:pt idx="6">
                  <c:v>-4135</c:v>
                </c:pt>
                <c:pt idx="7">
                  <c:v>-4134</c:v>
                </c:pt>
                <c:pt idx="8">
                  <c:v>-4127</c:v>
                </c:pt>
                <c:pt idx="9">
                  <c:v>-4123</c:v>
                </c:pt>
                <c:pt idx="10">
                  <c:v>-4122</c:v>
                </c:pt>
                <c:pt idx="11">
                  <c:v>-4052</c:v>
                </c:pt>
                <c:pt idx="12">
                  <c:v>-4011</c:v>
                </c:pt>
                <c:pt idx="13">
                  <c:v>-4003</c:v>
                </c:pt>
                <c:pt idx="14">
                  <c:v>-3999</c:v>
                </c:pt>
                <c:pt idx="15">
                  <c:v>-3994</c:v>
                </c:pt>
                <c:pt idx="16">
                  <c:v>-3991</c:v>
                </c:pt>
                <c:pt idx="17">
                  <c:v>-3990</c:v>
                </c:pt>
                <c:pt idx="18">
                  <c:v>-3134</c:v>
                </c:pt>
                <c:pt idx="19">
                  <c:v>0</c:v>
                </c:pt>
                <c:pt idx="20">
                  <c:v>337</c:v>
                </c:pt>
                <c:pt idx="21">
                  <c:v>548</c:v>
                </c:pt>
                <c:pt idx="22">
                  <c:v>622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65-4DE7-924B-E7DB2CCF219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4.3E-3</c:v>
                  </c:pt>
                  <c:pt idx="21">
                    <c:v>0</c:v>
                  </c:pt>
                  <c:pt idx="2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4.3E-3</c:v>
                  </c:pt>
                  <c:pt idx="21">
                    <c:v>0</c:v>
                  </c:pt>
                  <c:pt idx="2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-5063</c:v>
                </c:pt>
                <c:pt idx="1">
                  <c:v>-4760</c:v>
                </c:pt>
                <c:pt idx="2">
                  <c:v>-4694</c:v>
                </c:pt>
                <c:pt idx="3">
                  <c:v>-4512</c:v>
                </c:pt>
                <c:pt idx="4">
                  <c:v>-4147</c:v>
                </c:pt>
                <c:pt idx="5">
                  <c:v>-4140</c:v>
                </c:pt>
                <c:pt idx="6">
                  <c:v>-4135</c:v>
                </c:pt>
                <c:pt idx="7">
                  <c:v>-4134</c:v>
                </c:pt>
                <c:pt idx="8">
                  <c:v>-4127</c:v>
                </c:pt>
                <c:pt idx="9">
                  <c:v>-4123</c:v>
                </c:pt>
                <c:pt idx="10">
                  <c:v>-4122</c:v>
                </c:pt>
                <c:pt idx="11">
                  <c:v>-4052</c:v>
                </c:pt>
                <c:pt idx="12">
                  <c:v>-4011</c:v>
                </c:pt>
                <c:pt idx="13">
                  <c:v>-4003</c:v>
                </c:pt>
                <c:pt idx="14">
                  <c:v>-3999</c:v>
                </c:pt>
                <c:pt idx="15">
                  <c:v>-3994</c:v>
                </c:pt>
                <c:pt idx="16">
                  <c:v>-3991</c:v>
                </c:pt>
                <c:pt idx="17">
                  <c:v>-3990</c:v>
                </c:pt>
                <c:pt idx="18">
                  <c:v>-3134</c:v>
                </c:pt>
                <c:pt idx="19">
                  <c:v>0</c:v>
                </c:pt>
                <c:pt idx="20">
                  <c:v>337</c:v>
                </c:pt>
                <c:pt idx="21">
                  <c:v>548</c:v>
                </c:pt>
                <c:pt idx="22">
                  <c:v>622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65-4DE7-924B-E7DB2CCF219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-5063</c:v>
                </c:pt>
                <c:pt idx="1">
                  <c:v>-4760</c:v>
                </c:pt>
                <c:pt idx="2">
                  <c:v>-4694</c:v>
                </c:pt>
                <c:pt idx="3">
                  <c:v>-4512</c:v>
                </c:pt>
                <c:pt idx="4">
                  <c:v>-4147</c:v>
                </c:pt>
                <c:pt idx="5">
                  <c:v>-4140</c:v>
                </c:pt>
                <c:pt idx="6">
                  <c:v>-4135</c:v>
                </c:pt>
                <c:pt idx="7">
                  <c:v>-4134</c:v>
                </c:pt>
                <c:pt idx="8">
                  <c:v>-4127</c:v>
                </c:pt>
                <c:pt idx="9">
                  <c:v>-4123</c:v>
                </c:pt>
                <c:pt idx="10">
                  <c:v>-4122</c:v>
                </c:pt>
                <c:pt idx="11">
                  <c:v>-4052</c:v>
                </c:pt>
                <c:pt idx="12">
                  <c:v>-4011</c:v>
                </c:pt>
                <c:pt idx="13">
                  <c:v>-4003</c:v>
                </c:pt>
                <c:pt idx="14">
                  <c:v>-3999</c:v>
                </c:pt>
                <c:pt idx="15">
                  <c:v>-3994</c:v>
                </c:pt>
                <c:pt idx="16">
                  <c:v>-3991</c:v>
                </c:pt>
                <c:pt idx="17">
                  <c:v>-3990</c:v>
                </c:pt>
                <c:pt idx="18">
                  <c:v>-3134</c:v>
                </c:pt>
                <c:pt idx="19">
                  <c:v>0</c:v>
                </c:pt>
                <c:pt idx="20">
                  <c:v>337</c:v>
                </c:pt>
                <c:pt idx="21">
                  <c:v>548</c:v>
                </c:pt>
                <c:pt idx="22">
                  <c:v>622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-7.8404471554589968E-3</c:v>
                </c:pt>
                <c:pt idx="1">
                  <c:v>-7.48130896596609E-3</c:v>
                </c:pt>
                <c:pt idx="2">
                  <c:v>-7.4030808454824872E-3</c:v>
                </c:pt>
                <c:pt idx="3">
                  <c:v>-7.1873608768761874E-3</c:v>
                </c:pt>
                <c:pt idx="4">
                  <c:v>-6.7547356651108063E-3</c:v>
                </c:pt>
                <c:pt idx="5">
                  <c:v>-6.7464387432413335E-3</c:v>
                </c:pt>
                <c:pt idx="6">
                  <c:v>-6.7405123704774245E-3</c:v>
                </c:pt>
                <c:pt idx="7">
                  <c:v>-6.7393270959246422E-3</c:v>
                </c:pt>
                <c:pt idx="8">
                  <c:v>-6.7310301740551694E-3</c:v>
                </c:pt>
                <c:pt idx="9">
                  <c:v>-6.7262890758440419E-3</c:v>
                </c:pt>
                <c:pt idx="10">
                  <c:v>-6.7251038012912595E-3</c:v>
                </c:pt>
                <c:pt idx="11">
                  <c:v>-6.6421345825965292E-3</c:v>
                </c:pt>
                <c:pt idx="12">
                  <c:v>-6.5935383259324723E-3</c:v>
                </c:pt>
                <c:pt idx="13">
                  <c:v>-6.5840561295102181E-3</c:v>
                </c:pt>
                <c:pt idx="14">
                  <c:v>-6.5793150312990906E-3</c:v>
                </c:pt>
                <c:pt idx="15">
                  <c:v>-6.5733886585351807E-3</c:v>
                </c:pt>
                <c:pt idx="16">
                  <c:v>-6.5698328348768355E-3</c:v>
                </c:pt>
                <c:pt idx="17">
                  <c:v>-6.5686475603240532E-3</c:v>
                </c:pt>
                <c:pt idx="18">
                  <c:v>-5.5540525431427758E-3</c:v>
                </c:pt>
                <c:pt idx="19">
                  <c:v>-1.8394020947244084E-3</c:v>
                </c:pt>
                <c:pt idx="20">
                  <c:v>-1.4399645704369197E-3</c:v>
                </c:pt>
                <c:pt idx="21">
                  <c:v>-1.189871639799946E-3</c:v>
                </c:pt>
                <c:pt idx="22">
                  <c:v>-1.1021613228940877E-3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65-4DE7-924B-E7DB2CCF2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3668936"/>
        <c:axId val="1"/>
      </c:scatterChart>
      <c:valAx>
        <c:axId val="883668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3668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87D068F-1A31-CF74-D9F6-8160ED5B4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konkoly.hu/cgi-bin/IBVS?59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5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35</v>
      </c>
    </row>
    <row r="2" spans="1:6">
      <c r="A2" t="s">
        <v>24</v>
      </c>
      <c r="B2" s="31" t="s">
        <v>38</v>
      </c>
      <c r="C2" s="3"/>
      <c r="D2" s="3"/>
    </row>
    <row r="3" spans="1:6" ht="13.5" thickBot="1"/>
    <row r="4" spans="1:6" ht="14.25" thickTop="1" thickBot="1">
      <c r="A4" s="5" t="s">
        <v>0</v>
      </c>
      <c r="C4" s="8">
        <v>52500.86</v>
      </c>
      <c r="D4" s="9">
        <v>4.7585119999999996</v>
      </c>
    </row>
    <row r="5" spans="1:6" ht="13.5" thickTop="1">
      <c r="A5" s="11" t="s">
        <v>29</v>
      </c>
      <c r="B5" s="12"/>
      <c r="C5" s="13">
        <v>-9.5</v>
      </c>
      <c r="D5" s="12" t="s">
        <v>30</v>
      </c>
    </row>
    <row r="6" spans="1:6">
      <c r="A6" s="5" t="s">
        <v>1</v>
      </c>
    </row>
    <row r="7" spans="1:6">
      <c r="A7" t="s">
        <v>2</v>
      </c>
      <c r="C7">
        <f>+C4</f>
        <v>52500.86</v>
      </c>
    </row>
    <row r="8" spans="1:6">
      <c r="A8" t="s">
        <v>3</v>
      </c>
      <c r="C8">
        <f>+D4</f>
        <v>4.7585119999999996</v>
      </c>
    </row>
    <row r="9" spans="1:6">
      <c r="A9" s="26" t="s">
        <v>34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>
      <c r="A10" s="12"/>
      <c r="B10" s="12"/>
      <c r="C10" s="4" t="s">
        <v>20</v>
      </c>
      <c r="D10" s="4" t="s">
        <v>21</v>
      </c>
      <c r="E10" s="12"/>
    </row>
    <row r="11" spans="1:6">
      <c r="A11" s="12" t="s">
        <v>16</v>
      </c>
      <c r="B11" s="12"/>
      <c r="C11" s="23">
        <f ca="1">INTERCEPT(INDIRECT($D$9):G992,INDIRECT($C$9):F992)</f>
        <v>-1.8394020947244084E-3</v>
      </c>
      <c r="D11" s="3"/>
      <c r="E11" s="12"/>
    </row>
    <row r="12" spans="1:6">
      <c r="A12" s="12" t="s">
        <v>17</v>
      </c>
      <c r="B12" s="12"/>
      <c r="C12" s="23">
        <f ca="1">SLOPE(INDIRECT($D$9):G992,INDIRECT($C$9):F992)</f>
        <v>1.185274552781866E-6</v>
      </c>
      <c r="D12" s="3"/>
      <c r="E12" s="12"/>
    </row>
    <row r="13" spans="1:6">
      <c r="A13" s="12" t="s">
        <v>19</v>
      </c>
      <c r="B13" s="12"/>
      <c r="C13" s="3" t="s">
        <v>14</v>
      </c>
    </row>
    <row r="14" spans="1:6">
      <c r="A14" s="12"/>
      <c r="B14" s="12"/>
      <c r="C14" s="12"/>
    </row>
    <row r="15" spans="1:6">
      <c r="A15" s="14" t="s">
        <v>18</v>
      </c>
      <c r="B15" s="12"/>
      <c r="C15" s="15">
        <f ca="1">(C7+C11)+(C8+C12)*INT(MAX(F21:F3533))</f>
        <v>55460.653361838675</v>
      </c>
      <c r="E15" s="3"/>
      <c r="F15" s="12"/>
    </row>
    <row r="16" spans="1:6">
      <c r="A16" s="18" t="s">
        <v>4</v>
      </c>
      <c r="B16" s="12"/>
      <c r="C16" s="19">
        <f ca="1">+C8+C12</f>
        <v>4.7585131852745528</v>
      </c>
      <c r="E16" s="12"/>
      <c r="F16" s="12"/>
    </row>
    <row r="17" spans="1:17" ht="13.5" thickBot="1">
      <c r="A17" s="16" t="s">
        <v>28</v>
      </c>
      <c r="B17" s="12"/>
      <c r="C17" s="12">
        <f>COUNT(C21:C2191)</f>
        <v>23</v>
      </c>
      <c r="E17" s="16" t="s">
        <v>31</v>
      </c>
      <c r="F17" s="17">
        <f ca="1">TODAY()+15018.5-B5/24</f>
        <v>60340.5</v>
      </c>
    </row>
    <row r="18" spans="1:17" ht="14.25" thickTop="1" thickBot="1">
      <c r="A18" s="18" t="s">
        <v>5</v>
      </c>
      <c r="B18" s="12"/>
      <c r="C18" s="21">
        <f ca="1">+C15</f>
        <v>55460.653361838675</v>
      </c>
      <c r="D18" s="22">
        <f ca="1">+C16</f>
        <v>4.7585131852745528</v>
      </c>
      <c r="E18" s="16" t="s">
        <v>32</v>
      </c>
      <c r="F18" s="17">
        <f ca="1">ROUND(2*(F17-C15)/C16,0)/2+1</f>
        <v>1026.5</v>
      </c>
    </row>
    <row r="19" spans="1:17" ht="13.5" thickTop="1">
      <c r="E19" s="16" t="s">
        <v>33</v>
      </c>
      <c r="F19" s="20">
        <f ca="1">+C15+C16*F18-15018.5-C5/24</f>
        <v>45327.162979856337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50</v>
      </c>
      <c r="J20" s="7" t="s">
        <v>44</v>
      </c>
      <c r="K20" s="7" t="s">
        <v>42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>
      <c r="A21" s="47" t="s">
        <v>57</v>
      </c>
      <c r="B21" s="49" t="s">
        <v>37</v>
      </c>
      <c r="C21" s="48">
        <v>28408.47</v>
      </c>
      <c r="D21" s="48" t="s">
        <v>50</v>
      </c>
      <c r="E21">
        <f t="shared" ref="E21:E43" si="0">+(C21-C$7)/C$8</f>
        <v>-5063.0091927896792</v>
      </c>
      <c r="F21">
        <f t="shared" ref="F21:F43" si="1">ROUND(2*E21,0)/2</f>
        <v>-5063</v>
      </c>
      <c r="G21">
        <f t="shared" ref="G21:G43" si="2">+C21-(C$7+F21*C$8)</f>
        <v>-4.374400000233436E-2</v>
      </c>
      <c r="I21">
        <f t="shared" ref="I21:I39" si="3">+G21</f>
        <v>-4.374400000233436E-2</v>
      </c>
      <c r="O21">
        <f t="shared" ref="O21:O43" ca="1" si="4">+C$11+C$12*$F21</f>
        <v>-7.8404471554589968E-3</v>
      </c>
      <c r="Q21" s="2">
        <f t="shared" ref="Q21:Q43" si="5">+C21-15018.5</f>
        <v>13389.970000000001</v>
      </c>
    </row>
    <row r="22" spans="1:17">
      <c r="A22" s="47" t="s">
        <v>57</v>
      </c>
      <c r="B22" s="49" t="s">
        <v>37</v>
      </c>
      <c r="C22" s="48">
        <v>29850.28</v>
      </c>
      <c r="D22" s="48" t="s">
        <v>50</v>
      </c>
      <c r="E22">
        <f t="shared" si="0"/>
        <v>-4760.0132142148641</v>
      </c>
      <c r="F22">
        <f t="shared" si="1"/>
        <v>-4760</v>
      </c>
      <c r="G22">
        <f t="shared" si="2"/>
        <v>-6.2880000004952308E-2</v>
      </c>
      <c r="I22">
        <f t="shared" si="3"/>
        <v>-6.2880000004952308E-2</v>
      </c>
      <c r="O22">
        <f t="shared" ca="1" si="4"/>
        <v>-7.48130896596609E-3</v>
      </c>
      <c r="Q22" s="2">
        <f t="shared" si="5"/>
        <v>14831.779999999999</v>
      </c>
    </row>
    <row r="23" spans="1:17">
      <c r="A23" s="47" t="s">
        <v>64</v>
      </c>
      <c r="B23" s="49" t="s">
        <v>37</v>
      </c>
      <c r="C23" s="48">
        <v>30164.465</v>
      </c>
      <c r="D23" s="48" t="s">
        <v>50</v>
      </c>
      <c r="E23">
        <f t="shared" si="0"/>
        <v>-4693.9873220872414</v>
      </c>
      <c r="F23">
        <f t="shared" si="1"/>
        <v>-4694</v>
      </c>
      <c r="G23">
        <f t="shared" si="2"/>
        <v>6.0327999999572057E-2</v>
      </c>
      <c r="I23">
        <f t="shared" si="3"/>
        <v>6.0327999999572057E-2</v>
      </c>
      <c r="O23">
        <f t="shared" ca="1" si="4"/>
        <v>-7.4030808454824872E-3</v>
      </c>
      <c r="Q23" s="2">
        <f t="shared" si="5"/>
        <v>15145.965</v>
      </c>
    </row>
    <row r="24" spans="1:17">
      <c r="A24" s="47" t="s">
        <v>64</v>
      </c>
      <c r="B24" s="49" t="s">
        <v>37</v>
      </c>
      <c r="C24" s="48">
        <v>31030.418000000001</v>
      </c>
      <c r="D24" s="48" t="s">
        <v>50</v>
      </c>
      <c r="E24">
        <f t="shared" si="0"/>
        <v>-4512.0075351286287</v>
      </c>
      <c r="F24">
        <f t="shared" si="1"/>
        <v>-4512</v>
      </c>
      <c r="G24">
        <f t="shared" si="2"/>
        <v>-3.5856000002240762E-2</v>
      </c>
      <c r="I24">
        <f t="shared" si="3"/>
        <v>-3.5856000002240762E-2</v>
      </c>
      <c r="O24">
        <f t="shared" ca="1" si="4"/>
        <v>-7.1873608768761874E-3</v>
      </c>
      <c r="Q24" s="2">
        <f t="shared" si="5"/>
        <v>16011.918000000001</v>
      </c>
    </row>
    <row r="25" spans="1:17">
      <c r="A25" s="47" t="s">
        <v>57</v>
      </c>
      <c r="B25" s="49" t="s">
        <v>37</v>
      </c>
      <c r="C25" s="48">
        <v>32767.32</v>
      </c>
      <c r="D25" s="48" t="s">
        <v>50</v>
      </c>
      <c r="E25">
        <f t="shared" si="0"/>
        <v>-4146.9980531729252</v>
      </c>
      <c r="F25">
        <f t="shared" si="1"/>
        <v>-4147</v>
      </c>
      <c r="G25">
        <f t="shared" si="2"/>
        <v>9.2639999966195319E-3</v>
      </c>
      <c r="I25">
        <f t="shared" si="3"/>
        <v>9.2639999966195319E-3</v>
      </c>
      <c r="O25">
        <f t="shared" ca="1" si="4"/>
        <v>-6.7547356651108063E-3</v>
      </c>
      <c r="Q25" s="2">
        <f t="shared" si="5"/>
        <v>17748.82</v>
      </c>
    </row>
    <row r="26" spans="1:17">
      <c r="A26" s="47" t="s">
        <v>57</v>
      </c>
      <c r="B26" s="49" t="s">
        <v>37</v>
      </c>
      <c r="C26" s="48">
        <v>32800.639999999999</v>
      </c>
      <c r="D26" s="48" t="s">
        <v>50</v>
      </c>
      <c r="E26">
        <f t="shared" si="0"/>
        <v>-4139.9958642533638</v>
      </c>
      <c r="F26">
        <f t="shared" si="1"/>
        <v>-4140</v>
      </c>
      <c r="G26">
        <f t="shared" si="2"/>
        <v>1.9679999997606501E-2</v>
      </c>
      <c r="I26">
        <f t="shared" si="3"/>
        <v>1.9679999997606501E-2</v>
      </c>
      <c r="O26">
        <f t="shared" ca="1" si="4"/>
        <v>-6.7464387432413335E-3</v>
      </c>
      <c r="Q26" s="2">
        <f t="shared" si="5"/>
        <v>17782.14</v>
      </c>
    </row>
    <row r="27" spans="1:17">
      <c r="A27" s="47" t="s">
        <v>57</v>
      </c>
      <c r="B27" s="49" t="s">
        <v>37</v>
      </c>
      <c r="C27" s="48">
        <v>32824.39</v>
      </c>
      <c r="D27" s="48" t="s">
        <v>50</v>
      </c>
      <c r="E27">
        <f t="shared" si="0"/>
        <v>-4135.0048082257654</v>
      </c>
      <c r="F27">
        <f t="shared" si="1"/>
        <v>-4135</v>
      </c>
      <c r="G27">
        <f t="shared" si="2"/>
        <v>-2.2880000004079193E-2</v>
      </c>
      <c r="I27">
        <f t="shared" si="3"/>
        <v>-2.2880000004079193E-2</v>
      </c>
      <c r="O27">
        <f t="shared" ca="1" si="4"/>
        <v>-6.7405123704774245E-3</v>
      </c>
      <c r="Q27" s="2">
        <f t="shared" si="5"/>
        <v>17805.89</v>
      </c>
    </row>
    <row r="28" spans="1:17">
      <c r="A28" s="47" t="s">
        <v>57</v>
      </c>
      <c r="B28" s="49" t="s">
        <v>37</v>
      </c>
      <c r="C28" s="48">
        <v>32829.17</v>
      </c>
      <c r="D28" s="48" t="s">
        <v>50</v>
      </c>
      <c r="E28">
        <f t="shared" si="0"/>
        <v>-4134.0002925284216</v>
      </c>
      <c r="F28">
        <f t="shared" si="1"/>
        <v>-4134</v>
      </c>
      <c r="G28">
        <f t="shared" si="2"/>
        <v>-1.3920000055804849E-3</v>
      </c>
      <c r="I28">
        <f t="shared" si="3"/>
        <v>-1.3920000055804849E-3</v>
      </c>
      <c r="O28">
        <f t="shared" ca="1" si="4"/>
        <v>-6.7393270959246422E-3</v>
      </c>
      <c r="Q28" s="2">
        <f t="shared" si="5"/>
        <v>17810.669999999998</v>
      </c>
    </row>
    <row r="29" spans="1:17">
      <c r="A29" s="47" t="s">
        <v>64</v>
      </c>
      <c r="B29" s="49" t="s">
        <v>37</v>
      </c>
      <c r="C29" s="48">
        <v>32862.442000000003</v>
      </c>
      <c r="D29" s="48" t="s">
        <v>50</v>
      </c>
      <c r="E29">
        <f t="shared" si="0"/>
        <v>-4127.0081907957783</v>
      </c>
      <c r="F29">
        <f t="shared" si="1"/>
        <v>-4127</v>
      </c>
      <c r="G29">
        <f t="shared" si="2"/>
        <v>-3.8976000003458466E-2</v>
      </c>
      <c r="I29">
        <f t="shared" si="3"/>
        <v>-3.8976000003458466E-2</v>
      </c>
      <c r="O29">
        <f t="shared" ca="1" si="4"/>
        <v>-6.7310301740551694E-3</v>
      </c>
      <c r="Q29" s="2">
        <f t="shared" si="5"/>
        <v>17843.942000000003</v>
      </c>
    </row>
    <row r="30" spans="1:17">
      <c r="A30" s="47" t="s">
        <v>64</v>
      </c>
      <c r="B30" s="49" t="s">
        <v>37</v>
      </c>
      <c r="C30" s="48">
        <v>32881.449999999997</v>
      </c>
      <c r="D30" s="48" t="s">
        <v>50</v>
      </c>
      <c r="E30">
        <f t="shared" si="0"/>
        <v>-4123.0136647758809</v>
      </c>
      <c r="F30">
        <f t="shared" si="1"/>
        <v>-4123</v>
      </c>
      <c r="G30">
        <f t="shared" si="2"/>
        <v>-6.5024000010453165E-2</v>
      </c>
      <c r="I30">
        <f t="shared" si="3"/>
        <v>-6.5024000010453165E-2</v>
      </c>
      <c r="O30">
        <f t="shared" ca="1" si="4"/>
        <v>-6.7262890758440419E-3</v>
      </c>
      <c r="Q30" s="2">
        <f t="shared" si="5"/>
        <v>17862.949999999997</v>
      </c>
    </row>
    <row r="31" spans="1:17">
      <c r="A31" s="47" t="s">
        <v>64</v>
      </c>
      <c r="B31" s="49" t="s">
        <v>37</v>
      </c>
      <c r="C31" s="48">
        <v>32886.379999999997</v>
      </c>
      <c r="D31" s="48" t="s">
        <v>50</v>
      </c>
      <c r="E31">
        <f t="shared" si="0"/>
        <v>-4121.9776266194149</v>
      </c>
      <c r="F31">
        <f t="shared" si="1"/>
        <v>-4122</v>
      </c>
      <c r="G31">
        <f t="shared" si="2"/>
        <v>0.10646399999677669</v>
      </c>
      <c r="I31">
        <f t="shared" si="3"/>
        <v>0.10646399999677669</v>
      </c>
      <c r="O31">
        <f t="shared" ca="1" si="4"/>
        <v>-6.7251038012912595E-3</v>
      </c>
      <c r="Q31" s="2">
        <f t="shared" si="5"/>
        <v>17867.879999999997</v>
      </c>
    </row>
    <row r="32" spans="1:17">
      <c r="A32" s="47" t="s">
        <v>57</v>
      </c>
      <c r="B32" s="49" t="s">
        <v>37</v>
      </c>
      <c r="C32" s="48">
        <v>33219.370000000003</v>
      </c>
      <c r="D32" s="48" t="s">
        <v>50</v>
      </c>
      <c r="E32">
        <f t="shared" si="0"/>
        <v>-4051.9998688665701</v>
      </c>
      <c r="F32">
        <f t="shared" si="1"/>
        <v>-4052</v>
      </c>
      <c r="G32">
        <f t="shared" si="2"/>
        <v>6.2400000024354085E-4</v>
      </c>
      <c r="I32">
        <f t="shared" si="3"/>
        <v>6.2400000024354085E-4</v>
      </c>
      <c r="O32">
        <f t="shared" ca="1" si="4"/>
        <v>-6.6421345825965292E-3</v>
      </c>
      <c r="Q32" s="2">
        <f t="shared" si="5"/>
        <v>18200.870000000003</v>
      </c>
    </row>
    <row r="33" spans="1:18">
      <c r="A33" s="47" t="s">
        <v>64</v>
      </c>
      <c r="B33" s="49" t="s">
        <v>37</v>
      </c>
      <c r="C33" s="48">
        <v>33414.519999999997</v>
      </c>
      <c r="D33" s="48" t="s">
        <v>50</v>
      </c>
      <c r="E33">
        <f t="shared" si="0"/>
        <v>-4010.989149549272</v>
      </c>
      <c r="F33">
        <f t="shared" si="1"/>
        <v>-4011</v>
      </c>
      <c r="G33">
        <f t="shared" si="2"/>
        <v>5.1631999995152E-2</v>
      </c>
      <c r="I33">
        <f t="shared" si="3"/>
        <v>5.1631999995152E-2</v>
      </c>
      <c r="O33">
        <f t="shared" ca="1" si="4"/>
        <v>-6.5935383259324723E-3</v>
      </c>
      <c r="Q33" s="2">
        <f t="shared" si="5"/>
        <v>18396.019999999997</v>
      </c>
    </row>
    <row r="34" spans="1:18">
      <c r="A34" s="47" t="s">
        <v>64</v>
      </c>
      <c r="B34" s="49" t="s">
        <v>37</v>
      </c>
      <c r="C34" s="48">
        <v>33452.463000000003</v>
      </c>
      <c r="D34" s="48" t="s">
        <v>50</v>
      </c>
      <c r="E34">
        <f t="shared" si="0"/>
        <v>-4003.0154384395792</v>
      </c>
      <c r="F34">
        <f t="shared" si="1"/>
        <v>-4003</v>
      </c>
      <c r="G34">
        <f t="shared" si="2"/>
        <v>-7.3464000000967644E-2</v>
      </c>
      <c r="I34">
        <f t="shared" si="3"/>
        <v>-7.3464000000967644E-2</v>
      </c>
      <c r="O34">
        <f t="shared" ca="1" si="4"/>
        <v>-6.5840561295102181E-3</v>
      </c>
      <c r="Q34" s="2">
        <f t="shared" si="5"/>
        <v>18433.963000000003</v>
      </c>
    </row>
    <row r="35" spans="1:18">
      <c r="A35" s="47" t="s">
        <v>64</v>
      </c>
      <c r="B35" s="49" t="s">
        <v>37</v>
      </c>
      <c r="C35" s="48">
        <v>33471.46</v>
      </c>
      <c r="D35" s="48" t="s">
        <v>50</v>
      </c>
      <c r="E35">
        <f t="shared" si="0"/>
        <v>-3999.0232240666837</v>
      </c>
      <c r="F35">
        <f t="shared" si="1"/>
        <v>-3999</v>
      </c>
      <c r="G35">
        <f t="shared" si="2"/>
        <v>-0.11051200000656536</v>
      </c>
      <c r="I35">
        <f t="shared" si="3"/>
        <v>-0.11051200000656536</v>
      </c>
      <c r="O35">
        <f t="shared" ca="1" si="4"/>
        <v>-6.5793150312990906E-3</v>
      </c>
      <c r="Q35" s="2">
        <f t="shared" si="5"/>
        <v>18452.96</v>
      </c>
    </row>
    <row r="36" spans="1:18">
      <c r="A36" s="47" t="s">
        <v>64</v>
      </c>
      <c r="B36" s="49" t="s">
        <v>37</v>
      </c>
      <c r="C36" s="48">
        <v>33495.442000000003</v>
      </c>
      <c r="D36" s="48" t="s">
        <v>50</v>
      </c>
      <c r="E36">
        <f t="shared" si="0"/>
        <v>-3993.9834133023096</v>
      </c>
      <c r="F36">
        <f t="shared" si="1"/>
        <v>-3994</v>
      </c>
      <c r="G36">
        <f t="shared" si="2"/>
        <v>7.8927999995357823E-2</v>
      </c>
      <c r="I36">
        <f t="shared" si="3"/>
        <v>7.8927999995357823E-2</v>
      </c>
      <c r="O36">
        <f t="shared" ca="1" si="4"/>
        <v>-6.5733886585351807E-3</v>
      </c>
      <c r="Q36" s="2">
        <f t="shared" si="5"/>
        <v>18476.942000000003</v>
      </c>
    </row>
    <row r="37" spans="1:18">
      <c r="A37" s="47" t="s">
        <v>64</v>
      </c>
      <c r="B37" s="49" t="s">
        <v>37</v>
      </c>
      <c r="C37" s="48">
        <v>33509.572</v>
      </c>
      <c r="D37" s="48" t="s">
        <v>50</v>
      </c>
      <c r="E37">
        <f t="shared" si="0"/>
        <v>-3991.0139976530481</v>
      </c>
      <c r="F37">
        <f t="shared" si="1"/>
        <v>-3991</v>
      </c>
      <c r="G37">
        <f t="shared" si="2"/>
        <v>-6.6608000000996981E-2</v>
      </c>
      <c r="I37">
        <f t="shared" si="3"/>
        <v>-6.6608000000996981E-2</v>
      </c>
      <c r="O37">
        <f t="shared" ca="1" si="4"/>
        <v>-6.5698328348768355E-3</v>
      </c>
      <c r="Q37" s="2">
        <f t="shared" si="5"/>
        <v>18491.072</v>
      </c>
    </row>
    <row r="38" spans="1:18">
      <c r="A38" s="47" t="s">
        <v>64</v>
      </c>
      <c r="B38" s="49" t="s">
        <v>37</v>
      </c>
      <c r="C38" s="48">
        <v>33514.474999999999</v>
      </c>
      <c r="D38" s="48" t="s">
        <v>50</v>
      </c>
      <c r="E38">
        <f t="shared" si="0"/>
        <v>-3989.9836335392247</v>
      </c>
      <c r="F38">
        <f t="shared" si="1"/>
        <v>-3990</v>
      </c>
      <c r="G38">
        <f t="shared" si="2"/>
        <v>7.7879999997094274E-2</v>
      </c>
      <c r="I38">
        <f t="shared" si="3"/>
        <v>7.7879999997094274E-2</v>
      </c>
      <c r="O38">
        <f t="shared" ca="1" si="4"/>
        <v>-6.5686475603240532E-3</v>
      </c>
      <c r="Q38" s="2">
        <f t="shared" si="5"/>
        <v>18495.974999999999</v>
      </c>
    </row>
    <row r="39" spans="1:18">
      <c r="A39" s="47" t="s">
        <v>115</v>
      </c>
      <c r="B39" s="49" t="s">
        <v>37</v>
      </c>
      <c r="C39" s="48">
        <v>37587.68</v>
      </c>
      <c r="D39" s="48" t="s">
        <v>50</v>
      </c>
      <c r="E39">
        <f t="shared" si="0"/>
        <v>-3134.0007128278758</v>
      </c>
      <c r="F39">
        <f t="shared" si="1"/>
        <v>-3134</v>
      </c>
      <c r="G39">
        <f t="shared" si="2"/>
        <v>-3.3920000059879385E-3</v>
      </c>
      <c r="I39">
        <f t="shared" si="3"/>
        <v>-3.3920000059879385E-3</v>
      </c>
      <c r="O39">
        <f t="shared" ca="1" si="4"/>
        <v>-5.5540525431427758E-3</v>
      </c>
      <c r="Q39" s="2">
        <f t="shared" si="5"/>
        <v>22569.18</v>
      </c>
    </row>
    <row r="40" spans="1:18">
      <c r="A40" t="s">
        <v>12</v>
      </c>
      <c r="C40" s="10">
        <v>52500.86</v>
      </c>
      <c r="D40" s="10" t="s">
        <v>14</v>
      </c>
      <c r="E40">
        <f t="shared" si="0"/>
        <v>0</v>
      </c>
      <c r="F40">
        <f t="shared" si="1"/>
        <v>0</v>
      </c>
      <c r="G40">
        <f t="shared" si="2"/>
        <v>0</v>
      </c>
      <c r="H40">
        <f>+G40</f>
        <v>0</v>
      </c>
      <c r="O40">
        <f t="shared" ca="1" si="4"/>
        <v>-1.8394020947244084E-3</v>
      </c>
      <c r="Q40" s="2">
        <f t="shared" si="5"/>
        <v>37482.36</v>
      </c>
    </row>
    <row r="41" spans="1:18">
      <c r="A41" s="28" t="s">
        <v>36</v>
      </c>
      <c r="B41" s="29" t="s">
        <v>37</v>
      </c>
      <c r="C41" s="30">
        <v>54104.478900000002</v>
      </c>
      <c r="D41" s="30">
        <v>4.3E-3</v>
      </c>
      <c r="E41">
        <f t="shared" si="0"/>
        <v>337.00007481330329</v>
      </c>
      <c r="F41">
        <f t="shared" si="1"/>
        <v>337</v>
      </c>
      <c r="G41">
        <f t="shared" si="2"/>
        <v>3.5600000410340726E-4</v>
      </c>
      <c r="J41">
        <f>+G41</f>
        <v>3.5600000410340726E-4</v>
      </c>
      <c r="O41">
        <f t="shared" ca="1" si="4"/>
        <v>-1.4399645704369197E-3</v>
      </c>
      <c r="Q41" s="2">
        <f t="shared" si="5"/>
        <v>39085.978900000002</v>
      </c>
      <c r="R41" t="s">
        <v>44</v>
      </c>
    </row>
    <row r="42" spans="1:18">
      <c r="A42" s="47" t="s">
        <v>127</v>
      </c>
      <c r="B42" s="49" t="s">
        <v>37</v>
      </c>
      <c r="C42" s="48">
        <v>55108.525900000001</v>
      </c>
      <c r="D42" s="48" t="s">
        <v>50</v>
      </c>
      <c r="E42">
        <f t="shared" si="0"/>
        <v>548.00027823823916</v>
      </c>
      <c r="F42">
        <f t="shared" si="1"/>
        <v>548</v>
      </c>
      <c r="G42">
        <f t="shared" si="2"/>
        <v>1.3239999971119687E-3</v>
      </c>
      <c r="I42">
        <f>+G42</f>
        <v>1.3239999971119687E-3</v>
      </c>
      <c r="O42">
        <f t="shared" ca="1" si="4"/>
        <v>-1.189871639799946E-3</v>
      </c>
      <c r="Q42" s="2">
        <f t="shared" si="5"/>
        <v>40090.025900000001</v>
      </c>
    </row>
    <row r="43" spans="1:18">
      <c r="A43" s="32" t="s">
        <v>39</v>
      </c>
      <c r="B43" s="32"/>
      <c r="C43" s="33">
        <v>55460.638400000003</v>
      </c>
      <c r="D43" s="33">
        <v>1.6000000000000001E-3</v>
      </c>
      <c r="E43">
        <f t="shared" si="0"/>
        <v>621.99662415477849</v>
      </c>
      <c r="F43">
        <f t="shared" si="1"/>
        <v>622</v>
      </c>
      <c r="G43">
        <f t="shared" si="2"/>
        <v>-1.6063999995822087E-2</v>
      </c>
      <c r="J43">
        <f>+G43</f>
        <v>-1.6063999995822087E-2</v>
      </c>
      <c r="O43">
        <f t="shared" ca="1" si="4"/>
        <v>-1.1021613228940877E-3</v>
      </c>
      <c r="Q43" s="2">
        <f t="shared" si="5"/>
        <v>40442.138400000003</v>
      </c>
      <c r="R43" t="s">
        <v>44</v>
      </c>
    </row>
    <row r="44" spans="1:18">
      <c r="C44" s="10"/>
      <c r="D44" s="10"/>
    </row>
    <row r="45" spans="1:18">
      <c r="C45" s="10"/>
      <c r="D45" s="10"/>
    </row>
    <row r="46" spans="1:18">
      <c r="C46" s="10"/>
      <c r="D46" s="10"/>
    </row>
    <row r="47" spans="1:18">
      <c r="C47" s="10"/>
      <c r="D47" s="10"/>
    </row>
    <row r="48" spans="1:18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4"/>
  <sheetViews>
    <sheetView workbookViewId="0">
      <selection activeCell="A13" sqref="A13:D32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34" t="s">
        <v>40</v>
      </c>
      <c r="I1" s="35" t="s">
        <v>41</v>
      </c>
      <c r="J1" s="36" t="s">
        <v>42</v>
      </c>
    </row>
    <row r="2" spans="1:16">
      <c r="I2" s="37" t="s">
        <v>43</v>
      </c>
      <c r="J2" s="38" t="s">
        <v>44</v>
      </c>
    </row>
    <row r="3" spans="1:16">
      <c r="A3" s="39" t="s">
        <v>45</v>
      </c>
      <c r="I3" s="37" t="s">
        <v>46</v>
      </c>
      <c r="J3" s="38" t="s">
        <v>47</v>
      </c>
    </row>
    <row r="4" spans="1:16">
      <c r="I4" s="37" t="s">
        <v>48</v>
      </c>
      <c r="J4" s="38" t="s">
        <v>47</v>
      </c>
    </row>
    <row r="5" spans="1:16" ht="13.5" thickBot="1">
      <c r="I5" s="40" t="s">
        <v>49</v>
      </c>
      <c r="J5" s="41" t="s">
        <v>50</v>
      </c>
    </row>
    <row r="10" spans="1:16" ht="13.5" thickBot="1"/>
    <row r="11" spans="1:16" ht="12.75" customHeight="1" thickBot="1">
      <c r="A11" s="10" t="str">
        <f t="shared" ref="A11:A32" si="0">P11</f>
        <v>IBVS 5931 </v>
      </c>
      <c r="B11" s="3" t="str">
        <f t="shared" ref="B11:B32" si="1">IF(H11=INT(H11),"I","II")</f>
        <v>I</v>
      </c>
      <c r="C11" s="10">
        <f t="shared" ref="C11:C32" si="2">1*G11</f>
        <v>54104.478900000002</v>
      </c>
      <c r="D11" s="12" t="str">
        <f t="shared" ref="D11:D32" si="3">VLOOKUP(F11,I$1:J$5,2,FALSE)</f>
        <v>vis</v>
      </c>
      <c r="E11" s="42">
        <f>VLOOKUP(C11,Active!C$21:E$973,3,FALSE)</f>
        <v>337.00007481330329</v>
      </c>
      <c r="F11" s="3" t="s">
        <v>49</v>
      </c>
      <c r="G11" s="12" t="str">
        <f t="shared" ref="G11:G32" si="4">MID(I11,3,LEN(I11)-3)</f>
        <v>54104.4789</v>
      </c>
      <c r="H11" s="10">
        <f t="shared" ref="H11:H32" si="5">1*K11</f>
        <v>5400</v>
      </c>
      <c r="I11" s="43" t="s">
        <v>116</v>
      </c>
      <c r="J11" s="44" t="s">
        <v>117</v>
      </c>
      <c r="K11" s="43">
        <v>5400</v>
      </c>
      <c r="L11" s="43" t="s">
        <v>118</v>
      </c>
      <c r="M11" s="44" t="s">
        <v>119</v>
      </c>
      <c r="N11" s="44" t="s">
        <v>49</v>
      </c>
      <c r="O11" s="45" t="s">
        <v>120</v>
      </c>
      <c r="P11" s="46" t="s">
        <v>121</v>
      </c>
    </row>
    <row r="12" spans="1:16" ht="12.75" customHeight="1" thickBot="1">
      <c r="A12" s="10" t="str">
        <f t="shared" si="0"/>
        <v>BAVM 215 </v>
      </c>
      <c r="B12" s="3" t="str">
        <f t="shared" si="1"/>
        <v>I</v>
      </c>
      <c r="C12" s="10">
        <f t="shared" si="2"/>
        <v>55460.638400000003</v>
      </c>
      <c r="D12" s="12" t="str">
        <f t="shared" si="3"/>
        <v>vis</v>
      </c>
      <c r="E12" s="42">
        <f>VLOOKUP(C12,Active!C$21:E$973,3,FALSE)</f>
        <v>621.99662415477849</v>
      </c>
      <c r="F12" s="3" t="s">
        <v>49</v>
      </c>
      <c r="G12" s="12" t="str">
        <f t="shared" si="4"/>
        <v>55460.6384</v>
      </c>
      <c r="H12" s="10">
        <f t="shared" si="5"/>
        <v>5685</v>
      </c>
      <c r="I12" s="43" t="s">
        <v>128</v>
      </c>
      <c r="J12" s="44" t="s">
        <v>129</v>
      </c>
      <c r="K12" s="43" t="s">
        <v>130</v>
      </c>
      <c r="L12" s="43" t="s">
        <v>131</v>
      </c>
      <c r="M12" s="44" t="s">
        <v>119</v>
      </c>
      <c r="N12" s="44" t="s">
        <v>125</v>
      </c>
      <c r="O12" s="45" t="s">
        <v>126</v>
      </c>
      <c r="P12" s="46" t="s">
        <v>132</v>
      </c>
    </row>
    <row r="13" spans="1:16" ht="12.75" customHeight="1" thickBot="1">
      <c r="A13" s="10" t="str">
        <f t="shared" si="0"/>
        <v> PZ 7.259 </v>
      </c>
      <c r="B13" s="3" t="str">
        <f t="shared" si="1"/>
        <v>I</v>
      </c>
      <c r="C13" s="10">
        <f t="shared" si="2"/>
        <v>28408.47</v>
      </c>
      <c r="D13" s="12" t="str">
        <f t="shared" si="3"/>
        <v>vis</v>
      </c>
      <c r="E13" s="42">
        <f>VLOOKUP(C13,Active!C$21:E$973,3,FALSE)</f>
        <v>-5063.0091927896792</v>
      </c>
      <c r="F13" s="3" t="s">
        <v>49</v>
      </c>
      <c r="G13" s="12" t="str">
        <f t="shared" si="4"/>
        <v>28408.47</v>
      </c>
      <c r="H13" s="10">
        <f t="shared" si="5"/>
        <v>0</v>
      </c>
      <c r="I13" s="43" t="s">
        <v>52</v>
      </c>
      <c r="J13" s="44" t="s">
        <v>53</v>
      </c>
      <c r="K13" s="43">
        <v>0</v>
      </c>
      <c r="L13" s="43" t="s">
        <v>54</v>
      </c>
      <c r="M13" s="44" t="s">
        <v>55</v>
      </c>
      <c r="N13" s="44"/>
      <c r="O13" s="45" t="s">
        <v>56</v>
      </c>
      <c r="P13" s="45" t="s">
        <v>57</v>
      </c>
    </row>
    <row r="14" spans="1:16" ht="12.75" customHeight="1" thickBot="1">
      <c r="A14" s="10" t="str">
        <f t="shared" si="0"/>
        <v> PZ 7.259 </v>
      </c>
      <c r="B14" s="3" t="str">
        <f t="shared" si="1"/>
        <v>I</v>
      </c>
      <c r="C14" s="10">
        <f t="shared" si="2"/>
        <v>29850.28</v>
      </c>
      <c r="D14" s="12" t="str">
        <f t="shared" si="3"/>
        <v>vis</v>
      </c>
      <c r="E14" s="42">
        <f>VLOOKUP(C14,Active!C$21:E$973,3,FALSE)</f>
        <v>-4760.0132142148641</v>
      </c>
      <c r="F14" s="3" t="s">
        <v>49</v>
      </c>
      <c r="G14" s="12" t="str">
        <f t="shared" si="4"/>
        <v>29850.28</v>
      </c>
      <c r="H14" s="10">
        <f t="shared" si="5"/>
        <v>303</v>
      </c>
      <c r="I14" s="43" t="s">
        <v>58</v>
      </c>
      <c r="J14" s="44" t="s">
        <v>59</v>
      </c>
      <c r="K14" s="43">
        <v>303</v>
      </c>
      <c r="L14" s="43" t="s">
        <v>54</v>
      </c>
      <c r="M14" s="44" t="s">
        <v>55</v>
      </c>
      <c r="N14" s="44"/>
      <c r="O14" s="45" t="s">
        <v>56</v>
      </c>
      <c r="P14" s="45" t="s">
        <v>57</v>
      </c>
    </row>
    <row r="15" spans="1:16" ht="12.75" customHeight="1" thickBot="1">
      <c r="A15" s="10" t="str">
        <f t="shared" si="0"/>
        <v> VSS 1.488 </v>
      </c>
      <c r="B15" s="3" t="str">
        <f t="shared" si="1"/>
        <v>I</v>
      </c>
      <c r="C15" s="10">
        <f t="shared" si="2"/>
        <v>30164.465</v>
      </c>
      <c r="D15" s="12" t="str">
        <f t="shared" si="3"/>
        <v>vis</v>
      </c>
      <c r="E15" s="42">
        <f>VLOOKUP(C15,Active!C$21:E$973,3,FALSE)</f>
        <v>-4693.9873220872414</v>
      </c>
      <c r="F15" s="3" t="s">
        <v>49</v>
      </c>
      <c r="G15" s="12" t="str">
        <f t="shared" si="4"/>
        <v>30164.465</v>
      </c>
      <c r="H15" s="10">
        <f t="shared" si="5"/>
        <v>369</v>
      </c>
      <c r="I15" s="43" t="s">
        <v>60</v>
      </c>
      <c r="J15" s="44" t="s">
        <v>61</v>
      </c>
      <c r="K15" s="43">
        <v>369</v>
      </c>
      <c r="L15" s="43" t="s">
        <v>62</v>
      </c>
      <c r="M15" s="44" t="s">
        <v>55</v>
      </c>
      <c r="N15" s="44"/>
      <c r="O15" s="45" t="s">
        <v>63</v>
      </c>
      <c r="P15" s="45" t="s">
        <v>64</v>
      </c>
    </row>
    <row r="16" spans="1:16" ht="12.75" customHeight="1" thickBot="1">
      <c r="A16" s="10" t="str">
        <f t="shared" si="0"/>
        <v> VSS 1.488 </v>
      </c>
      <c r="B16" s="3" t="str">
        <f t="shared" si="1"/>
        <v>I</v>
      </c>
      <c r="C16" s="10">
        <f t="shared" si="2"/>
        <v>31030.418000000001</v>
      </c>
      <c r="D16" s="12" t="str">
        <f t="shared" si="3"/>
        <v>vis</v>
      </c>
      <c r="E16" s="42">
        <f>VLOOKUP(C16,Active!C$21:E$973,3,FALSE)</f>
        <v>-4512.0075351286287</v>
      </c>
      <c r="F16" s="3" t="s">
        <v>49</v>
      </c>
      <c r="G16" s="12" t="str">
        <f t="shared" si="4"/>
        <v>31030.418</v>
      </c>
      <c r="H16" s="10">
        <f t="shared" si="5"/>
        <v>551</v>
      </c>
      <c r="I16" s="43" t="s">
        <v>65</v>
      </c>
      <c r="J16" s="44" t="s">
        <v>66</v>
      </c>
      <c r="K16" s="43">
        <v>551</v>
      </c>
      <c r="L16" s="43" t="s">
        <v>67</v>
      </c>
      <c r="M16" s="44" t="s">
        <v>55</v>
      </c>
      <c r="N16" s="44"/>
      <c r="O16" s="45" t="s">
        <v>63</v>
      </c>
      <c r="P16" s="45" t="s">
        <v>64</v>
      </c>
    </row>
    <row r="17" spans="1:16" ht="12.75" customHeight="1" thickBot="1">
      <c r="A17" s="10" t="str">
        <f t="shared" si="0"/>
        <v> PZ 7.259 </v>
      </c>
      <c r="B17" s="3" t="str">
        <f t="shared" si="1"/>
        <v>I</v>
      </c>
      <c r="C17" s="10">
        <f t="shared" si="2"/>
        <v>32767.32</v>
      </c>
      <c r="D17" s="12" t="str">
        <f t="shared" si="3"/>
        <v>vis</v>
      </c>
      <c r="E17" s="42">
        <f>VLOOKUP(C17,Active!C$21:E$973,3,FALSE)</f>
        <v>-4146.9980531729252</v>
      </c>
      <c r="F17" s="3" t="s">
        <v>49</v>
      </c>
      <c r="G17" s="12" t="str">
        <f t="shared" si="4"/>
        <v>32767.32</v>
      </c>
      <c r="H17" s="10">
        <f t="shared" si="5"/>
        <v>916</v>
      </c>
      <c r="I17" s="43" t="s">
        <v>68</v>
      </c>
      <c r="J17" s="44" t="s">
        <v>69</v>
      </c>
      <c r="K17" s="43">
        <v>916</v>
      </c>
      <c r="L17" s="43" t="s">
        <v>70</v>
      </c>
      <c r="M17" s="44" t="s">
        <v>55</v>
      </c>
      <c r="N17" s="44"/>
      <c r="O17" s="45" t="s">
        <v>56</v>
      </c>
      <c r="P17" s="45" t="s">
        <v>57</v>
      </c>
    </row>
    <row r="18" spans="1:16" ht="12.75" customHeight="1" thickBot="1">
      <c r="A18" s="10" t="str">
        <f t="shared" si="0"/>
        <v> PZ 7.259 </v>
      </c>
      <c r="B18" s="3" t="str">
        <f t="shared" si="1"/>
        <v>I</v>
      </c>
      <c r="C18" s="10">
        <f t="shared" si="2"/>
        <v>32800.639999999999</v>
      </c>
      <c r="D18" s="12" t="str">
        <f t="shared" si="3"/>
        <v>vis</v>
      </c>
      <c r="E18" s="42">
        <f>VLOOKUP(C18,Active!C$21:E$973,3,FALSE)</f>
        <v>-4139.9958642533638</v>
      </c>
      <c r="F18" s="3" t="s">
        <v>49</v>
      </c>
      <c r="G18" s="12" t="str">
        <f t="shared" si="4"/>
        <v>32800.64</v>
      </c>
      <c r="H18" s="10">
        <f t="shared" si="5"/>
        <v>923</v>
      </c>
      <c r="I18" s="43" t="s">
        <v>71</v>
      </c>
      <c r="J18" s="44" t="s">
        <v>72</v>
      </c>
      <c r="K18" s="43">
        <v>923</v>
      </c>
      <c r="L18" s="43" t="s">
        <v>73</v>
      </c>
      <c r="M18" s="44" t="s">
        <v>55</v>
      </c>
      <c r="N18" s="44"/>
      <c r="O18" s="45" t="s">
        <v>56</v>
      </c>
      <c r="P18" s="45" t="s">
        <v>57</v>
      </c>
    </row>
    <row r="19" spans="1:16" ht="12.75" customHeight="1" thickBot="1">
      <c r="A19" s="10" t="str">
        <f t="shared" si="0"/>
        <v> PZ 7.259 </v>
      </c>
      <c r="B19" s="3" t="str">
        <f t="shared" si="1"/>
        <v>I</v>
      </c>
      <c r="C19" s="10">
        <f t="shared" si="2"/>
        <v>32824.39</v>
      </c>
      <c r="D19" s="12" t="str">
        <f t="shared" si="3"/>
        <v>vis</v>
      </c>
      <c r="E19" s="42">
        <f>VLOOKUP(C19,Active!C$21:E$973,3,FALSE)</f>
        <v>-4135.0048082257654</v>
      </c>
      <c r="F19" s="3" t="s">
        <v>49</v>
      </c>
      <c r="G19" s="12" t="str">
        <f t="shared" si="4"/>
        <v>32824.39</v>
      </c>
      <c r="H19" s="10">
        <f t="shared" si="5"/>
        <v>928</v>
      </c>
      <c r="I19" s="43" t="s">
        <v>74</v>
      </c>
      <c r="J19" s="44" t="s">
        <v>75</v>
      </c>
      <c r="K19" s="43">
        <v>928</v>
      </c>
      <c r="L19" s="43" t="s">
        <v>76</v>
      </c>
      <c r="M19" s="44" t="s">
        <v>55</v>
      </c>
      <c r="N19" s="44"/>
      <c r="O19" s="45" t="s">
        <v>56</v>
      </c>
      <c r="P19" s="45" t="s">
        <v>57</v>
      </c>
    </row>
    <row r="20" spans="1:16" ht="12.75" customHeight="1" thickBot="1">
      <c r="A20" s="10" t="str">
        <f t="shared" si="0"/>
        <v> PZ 7.259 </v>
      </c>
      <c r="B20" s="3" t="str">
        <f t="shared" si="1"/>
        <v>I</v>
      </c>
      <c r="C20" s="10">
        <f t="shared" si="2"/>
        <v>32829.17</v>
      </c>
      <c r="D20" s="12" t="str">
        <f t="shared" si="3"/>
        <v>vis</v>
      </c>
      <c r="E20" s="42">
        <f>VLOOKUP(C20,Active!C$21:E$973,3,FALSE)</f>
        <v>-4134.0002925284216</v>
      </c>
      <c r="F20" s="3" t="s">
        <v>49</v>
      </c>
      <c r="G20" s="12" t="str">
        <f t="shared" si="4"/>
        <v>32829.17</v>
      </c>
      <c r="H20" s="10">
        <f t="shared" si="5"/>
        <v>929</v>
      </c>
      <c r="I20" s="43" t="s">
        <v>77</v>
      </c>
      <c r="J20" s="44" t="s">
        <v>78</v>
      </c>
      <c r="K20" s="43">
        <v>929</v>
      </c>
      <c r="L20" s="43" t="s">
        <v>79</v>
      </c>
      <c r="M20" s="44" t="s">
        <v>55</v>
      </c>
      <c r="N20" s="44"/>
      <c r="O20" s="45" t="s">
        <v>56</v>
      </c>
      <c r="P20" s="45" t="s">
        <v>57</v>
      </c>
    </row>
    <row r="21" spans="1:16" ht="12.75" customHeight="1" thickBot="1">
      <c r="A21" s="10" t="str">
        <f t="shared" si="0"/>
        <v> VSS 1.488 </v>
      </c>
      <c r="B21" s="3" t="str">
        <f t="shared" si="1"/>
        <v>I</v>
      </c>
      <c r="C21" s="10">
        <f t="shared" si="2"/>
        <v>32862.442000000003</v>
      </c>
      <c r="D21" s="12" t="str">
        <f t="shared" si="3"/>
        <v>vis</v>
      </c>
      <c r="E21" s="42">
        <f>VLOOKUP(C21,Active!C$21:E$973,3,FALSE)</f>
        <v>-4127.0081907957783</v>
      </c>
      <c r="F21" s="3" t="s">
        <v>49</v>
      </c>
      <c r="G21" s="12" t="str">
        <f t="shared" si="4"/>
        <v>32862.442</v>
      </c>
      <c r="H21" s="10">
        <f t="shared" si="5"/>
        <v>936</v>
      </c>
      <c r="I21" s="43" t="s">
        <v>80</v>
      </c>
      <c r="J21" s="44" t="s">
        <v>81</v>
      </c>
      <c r="K21" s="43">
        <v>936</v>
      </c>
      <c r="L21" s="43" t="s">
        <v>82</v>
      </c>
      <c r="M21" s="44" t="s">
        <v>83</v>
      </c>
      <c r="N21" s="44"/>
      <c r="O21" s="45" t="s">
        <v>84</v>
      </c>
      <c r="P21" s="45" t="s">
        <v>64</v>
      </c>
    </row>
    <row r="22" spans="1:16" ht="12.75" customHeight="1" thickBot="1">
      <c r="A22" s="10" t="str">
        <f t="shared" si="0"/>
        <v> VSS 1.488 </v>
      </c>
      <c r="B22" s="3" t="str">
        <f t="shared" si="1"/>
        <v>I</v>
      </c>
      <c r="C22" s="10">
        <f t="shared" si="2"/>
        <v>32881.449999999997</v>
      </c>
      <c r="D22" s="12" t="str">
        <f t="shared" si="3"/>
        <v>vis</v>
      </c>
      <c r="E22" s="42">
        <f>VLOOKUP(C22,Active!C$21:E$973,3,FALSE)</f>
        <v>-4123.0136647758809</v>
      </c>
      <c r="F22" s="3" t="s">
        <v>49</v>
      </c>
      <c r="G22" s="12" t="str">
        <f t="shared" si="4"/>
        <v>32881.450</v>
      </c>
      <c r="H22" s="10">
        <f t="shared" si="5"/>
        <v>940</v>
      </c>
      <c r="I22" s="43" t="s">
        <v>85</v>
      </c>
      <c r="J22" s="44" t="s">
        <v>86</v>
      </c>
      <c r="K22" s="43">
        <v>940</v>
      </c>
      <c r="L22" s="43" t="s">
        <v>87</v>
      </c>
      <c r="M22" s="44" t="s">
        <v>83</v>
      </c>
      <c r="N22" s="44"/>
      <c r="O22" s="45" t="s">
        <v>84</v>
      </c>
      <c r="P22" s="45" t="s">
        <v>64</v>
      </c>
    </row>
    <row r="23" spans="1:16" ht="12.75" customHeight="1" thickBot="1">
      <c r="A23" s="10" t="str">
        <f t="shared" si="0"/>
        <v> VSS 1.488 </v>
      </c>
      <c r="B23" s="3" t="str">
        <f t="shared" si="1"/>
        <v>I</v>
      </c>
      <c r="C23" s="10">
        <f t="shared" si="2"/>
        <v>32886.379999999997</v>
      </c>
      <c r="D23" s="12" t="str">
        <f t="shared" si="3"/>
        <v>vis</v>
      </c>
      <c r="E23" s="42">
        <f>VLOOKUP(C23,Active!C$21:E$973,3,FALSE)</f>
        <v>-4121.9776266194149</v>
      </c>
      <c r="F23" s="3" t="s">
        <v>49</v>
      </c>
      <c r="G23" s="12" t="str">
        <f t="shared" si="4"/>
        <v>32886.380</v>
      </c>
      <c r="H23" s="10">
        <f t="shared" si="5"/>
        <v>941</v>
      </c>
      <c r="I23" s="43" t="s">
        <v>88</v>
      </c>
      <c r="J23" s="44" t="s">
        <v>89</v>
      </c>
      <c r="K23" s="43">
        <v>941</v>
      </c>
      <c r="L23" s="43" t="s">
        <v>90</v>
      </c>
      <c r="M23" s="44" t="s">
        <v>83</v>
      </c>
      <c r="N23" s="44"/>
      <c r="O23" s="45" t="s">
        <v>84</v>
      </c>
      <c r="P23" s="45" t="s">
        <v>64</v>
      </c>
    </row>
    <row r="24" spans="1:16" ht="12.75" customHeight="1" thickBot="1">
      <c r="A24" s="10" t="str">
        <f t="shared" si="0"/>
        <v> PZ 7.259 </v>
      </c>
      <c r="B24" s="3" t="str">
        <f t="shared" si="1"/>
        <v>I</v>
      </c>
      <c r="C24" s="10">
        <f t="shared" si="2"/>
        <v>33219.370000000003</v>
      </c>
      <c r="D24" s="12" t="str">
        <f t="shared" si="3"/>
        <v>vis</v>
      </c>
      <c r="E24" s="42">
        <f>VLOOKUP(C24,Active!C$21:E$973,3,FALSE)</f>
        <v>-4051.9998688665701</v>
      </c>
      <c r="F24" s="3" t="s">
        <v>49</v>
      </c>
      <c r="G24" s="12" t="str">
        <f t="shared" si="4"/>
        <v>33219.37</v>
      </c>
      <c r="H24" s="10">
        <f t="shared" si="5"/>
        <v>1011</v>
      </c>
      <c r="I24" s="43" t="s">
        <v>91</v>
      </c>
      <c r="J24" s="44" t="s">
        <v>92</v>
      </c>
      <c r="K24" s="43">
        <v>1011</v>
      </c>
      <c r="L24" s="43" t="s">
        <v>70</v>
      </c>
      <c r="M24" s="44" t="s">
        <v>55</v>
      </c>
      <c r="N24" s="44"/>
      <c r="O24" s="45" t="s">
        <v>56</v>
      </c>
      <c r="P24" s="45" t="s">
        <v>57</v>
      </c>
    </row>
    <row r="25" spans="1:16" ht="12.75" customHeight="1" thickBot="1">
      <c r="A25" s="10" t="str">
        <f t="shared" si="0"/>
        <v> VSS 1.488 </v>
      </c>
      <c r="B25" s="3" t="str">
        <f t="shared" si="1"/>
        <v>I</v>
      </c>
      <c r="C25" s="10">
        <f t="shared" si="2"/>
        <v>33414.519999999997</v>
      </c>
      <c r="D25" s="12" t="str">
        <f t="shared" si="3"/>
        <v>vis</v>
      </c>
      <c r="E25" s="42">
        <f>VLOOKUP(C25,Active!C$21:E$973,3,FALSE)</f>
        <v>-4010.989149549272</v>
      </c>
      <c r="F25" s="3" t="s">
        <v>49</v>
      </c>
      <c r="G25" s="12" t="str">
        <f t="shared" si="4"/>
        <v>33414.520</v>
      </c>
      <c r="H25" s="10">
        <f t="shared" si="5"/>
        <v>1052</v>
      </c>
      <c r="I25" s="43" t="s">
        <v>93</v>
      </c>
      <c r="J25" s="44" t="s">
        <v>94</v>
      </c>
      <c r="K25" s="43">
        <v>1052</v>
      </c>
      <c r="L25" s="43" t="s">
        <v>95</v>
      </c>
      <c r="M25" s="44" t="s">
        <v>83</v>
      </c>
      <c r="N25" s="44"/>
      <c r="O25" s="45" t="s">
        <v>84</v>
      </c>
      <c r="P25" s="45" t="s">
        <v>64</v>
      </c>
    </row>
    <row r="26" spans="1:16" ht="12.75" customHeight="1" thickBot="1">
      <c r="A26" s="10" t="str">
        <f t="shared" si="0"/>
        <v> VSS 1.488 </v>
      </c>
      <c r="B26" s="3" t="str">
        <f t="shared" si="1"/>
        <v>I</v>
      </c>
      <c r="C26" s="10">
        <f t="shared" si="2"/>
        <v>33452.463000000003</v>
      </c>
      <c r="D26" s="12" t="str">
        <f t="shared" si="3"/>
        <v>vis</v>
      </c>
      <c r="E26" s="42">
        <f>VLOOKUP(C26,Active!C$21:E$973,3,FALSE)</f>
        <v>-4003.0154384395792</v>
      </c>
      <c r="F26" s="3" t="s">
        <v>49</v>
      </c>
      <c r="G26" s="12" t="str">
        <f t="shared" si="4"/>
        <v>33452.463</v>
      </c>
      <c r="H26" s="10">
        <f t="shared" si="5"/>
        <v>1060</v>
      </c>
      <c r="I26" s="43" t="s">
        <v>96</v>
      </c>
      <c r="J26" s="44" t="s">
        <v>97</v>
      </c>
      <c r="K26" s="43">
        <v>1060</v>
      </c>
      <c r="L26" s="43" t="s">
        <v>98</v>
      </c>
      <c r="M26" s="44" t="s">
        <v>83</v>
      </c>
      <c r="N26" s="44"/>
      <c r="O26" s="45" t="s">
        <v>84</v>
      </c>
      <c r="P26" s="45" t="s">
        <v>64</v>
      </c>
    </row>
    <row r="27" spans="1:16" ht="12.75" customHeight="1" thickBot="1">
      <c r="A27" s="10" t="str">
        <f t="shared" si="0"/>
        <v> VSS 1.488 </v>
      </c>
      <c r="B27" s="3" t="str">
        <f t="shared" si="1"/>
        <v>I</v>
      </c>
      <c r="C27" s="10">
        <f t="shared" si="2"/>
        <v>33471.46</v>
      </c>
      <c r="D27" s="12" t="str">
        <f t="shared" si="3"/>
        <v>vis</v>
      </c>
      <c r="E27" s="42">
        <f>VLOOKUP(C27,Active!C$21:E$973,3,FALSE)</f>
        <v>-3999.0232240666837</v>
      </c>
      <c r="F27" s="3" t="s">
        <v>49</v>
      </c>
      <c r="G27" s="12" t="str">
        <f t="shared" si="4"/>
        <v>33471.460</v>
      </c>
      <c r="H27" s="10">
        <f t="shared" si="5"/>
        <v>1064</v>
      </c>
      <c r="I27" s="43" t="s">
        <v>99</v>
      </c>
      <c r="J27" s="44" t="s">
        <v>100</v>
      </c>
      <c r="K27" s="43">
        <v>1064</v>
      </c>
      <c r="L27" s="43" t="s">
        <v>101</v>
      </c>
      <c r="M27" s="44" t="s">
        <v>83</v>
      </c>
      <c r="N27" s="44"/>
      <c r="O27" s="45" t="s">
        <v>84</v>
      </c>
      <c r="P27" s="45" t="s">
        <v>64</v>
      </c>
    </row>
    <row r="28" spans="1:16" ht="12.75" customHeight="1" thickBot="1">
      <c r="A28" s="10" t="str">
        <f t="shared" si="0"/>
        <v> VSS 1.488 </v>
      </c>
      <c r="B28" s="3" t="str">
        <f t="shared" si="1"/>
        <v>I</v>
      </c>
      <c r="C28" s="10">
        <f t="shared" si="2"/>
        <v>33495.442000000003</v>
      </c>
      <c r="D28" s="12" t="str">
        <f t="shared" si="3"/>
        <v>vis</v>
      </c>
      <c r="E28" s="42">
        <f>VLOOKUP(C28,Active!C$21:E$973,3,FALSE)</f>
        <v>-3993.9834133023096</v>
      </c>
      <c r="F28" s="3" t="s">
        <v>49</v>
      </c>
      <c r="G28" s="12" t="str">
        <f t="shared" si="4"/>
        <v>33495.442</v>
      </c>
      <c r="H28" s="10">
        <f t="shared" si="5"/>
        <v>1069</v>
      </c>
      <c r="I28" s="43" t="s">
        <v>102</v>
      </c>
      <c r="J28" s="44" t="s">
        <v>103</v>
      </c>
      <c r="K28" s="43">
        <v>1069</v>
      </c>
      <c r="L28" s="43" t="s">
        <v>104</v>
      </c>
      <c r="M28" s="44" t="s">
        <v>83</v>
      </c>
      <c r="N28" s="44"/>
      <c r="O28" s="45" t="s">
        <v>84</v>
      </c>
      <c r="P28" s="45" t="s">
        <v>64</v>
      </c>
    </row>
    <row r="29" spans="1:16" ht="12.75" customHeight="1" thickBot="1">
      <c r="A29" s="10" t="str">
        <f t="shared" si="0"/>
        <v> VSS 1.488 </v>
      </c>
      <c r="B29" s="3" t="str">
        <f t="shared" si="1"/>
        <v>I</v>
      </c>
      <c r="C29" s="10">
        <f t="shared" si="2"/>
        <v>33509.572</v>
      </c>
      <c r="D29" s="12" t="str">
        <f t="shared" si="3"/>
        <v>vis</v>
      </c>
      <c r="E29" s="42">
        <f>VLOOKUP(C29,Active!C$21:E$973,3,FALSE)</f>
        <v>-3991.0139976530481</v>
      </c>
      <c r="F29" s="3" t="s">
        <v>49</v>
      </c>
      <c r="G29" s="12" t="str">
        <f t="shared" si="4"/>
        <v>33509.572</v>
      </c>
      <c r="H29" s="10">
        <f t="shared" si="5"/>
        <v>1072</v>
      </c>
      <c r="I29" s="43" t="s">
        <v>105</v>
      </c>
      <c r="J29" s="44" t="s">
        <v>106</v>
      </c>
      <c r="K29" s="43">
        <v>1072</v>
      </c>
      <c r="L29" s="43" t="s">
        <v>107</v>
      </c>
      <c r="M29" s="44" t="s">
        <v>83</v>
      </c>
      <c r="N29" s="44"/>
      <c r="O29" s="45" t="s">
        <v>84</v>
      </c>
      <c r="P29" s="45" t="s">
        <v>64</v>
      </c>
    </row>
    <row r="30" spans="1:16" ht="12.75" customHeight="1" thickBot="1">
      <c r="A30" s="10" t="str">
        <f t="shared" si="0"/>
        <v> VSS 1.488 </v>
      </c>
      <c r="B30" s="3" t="str">
        <f t="shared" si="1"/>
        <v>I</v>
      </c>
      <c r="C30" s="10">
        <f t="shared" si="2"/>
        <v>33514.474999999999</v>
      </c>
      <c r="D30" s="12" t="str">
        <f t="shared" si="3"/>
        <v>vis</v>
      </c>
      <c r="E30" s="42">
        <f>VLOOKUP(C30,Active!C$21:E$973,3,FALSE)</f>
        <v>-3989.9836335392247</v>
      </c>
      <c r="F30" s="3" t="s">
        <v>49</v>
      </c>
      <c r="G30" s="12" t="str">
        <f t="shared" si="4"/>
        <v>33514.475</v>
      </c>
      <c r="H30" s="10">
        <f t="shared" si="5"/>
        <v>1073</v>
      </c>
      <c r="I30" s="43" t="s">
        <v>108</v>
      </c>
      <c r="J30" s="44" t="s">
        <v>109</v>
      </c>
      <c r="K30" s="43">
        <v>1073</v>
      </c>
      <c r="L30" s="43" t="s">
        <v>110</v>
      </c>
      <c r="M30" s="44" t="s">
        <v>83</v>
      </c>
      <c r="N30" s="44"/>
      <c r="O30" s="45" t="s">
        <v>84</v>
      </c>
      <c r="P30" s="45" t="s">
        <v>64</v>
      </c>
    </row>
    <row r="31" spans="1:16" ht="12.75" customHeight="1" thickBot="1">
      <c r="A31" s="10" t="str">
        <f t="shared" si="0"/>
        <v> MVS 712 </v>
      </c>
      <c r="B31" s="3" t="str">
        <f t="shared" si="1"/>
        <v>I</v>
      </c>
      <c r="C31" s="10">
        <f t="shared" si="2"/>
        <v>37587.68</v>
      </c>
      <c r="D31" s="12" t="str">
        <f t="shared" si="3"/>
        <v>vis</v>
      </c>
      <c r="E31" s="42">
        <f>VLOOKUP(C31,Active!C$21:E$973,3,FALSE)</f>
        <v>-3134.0007128278758</v>
      </c>
      <c r="F31" s="3" t="s">
        <v>49</v>
      </c>
      <c r="G31" s="12" t="str">
        <f t="shared" si="4"/>
        <v>37587.680</v>
      </c>
      <c r="H31" s="10">
        <f t="shared" si="5"/>
        <v>1929</v>
      </c>
      <c r="I31" s="43" t="s">
        <v>111</v>
      </c>
      <c r="J31" s="44" t="s">
        <v>112</v>
      </c>
      <c r="K31" s="43">
        <v>1929</v>
      </c>
      <c r="L31" s="43" t="s">
        <v>113</v>
      </c>
      <c r="M31" s="44" t="s">
        <v>51</v>
      </c>
      <c r="N31" s="44"/>
      <c r="O31" s="45" t="s">
        <v>114</v>
      </c>
      <c r="P31" s="45" t="s">
        <v>115</v>
      </c>
    </row>
    <row r="32" spans="1:16" ht="12.75" customHeight="1" thickBot="1">
      <c r="A32" s="10" t="str">
        <f t="shared" si="0"/>
        <v>BAVM 212 </v>
      </c>
      <c r="B32" s="3" t="str">
        <f t="shared" si="1"/>
        <v>I</v>
      </c>
      <c r="C32" s="10">
        <f t="shared" si="2"/>
        <v>55108.525900000001</v>
      </c>
      <c r="D32" s="12" t="str">
        <f t="shared" si="3"/>
        <v>vis</v>
      </c>
      <c r="E32" s="42">
        <f>VLOOKUP(C32,Active!C$21:E$973,3,FALSE)</f>
        <v>548.00027823823916</v>
      </c>
      <c r="F32" s="3" t="s">
        <v>49</v>
      </c>
      <c r="G32" s="12" t="str">
        <f t="shared" si="4"/>
        <v>55108.5259</v>
      </c>
      <c r="H32" s="10">
        <f t="shared" si="5"/>
        <v>5611</v>
      </c>
      <c r="I32" s="43" t="s">
        <v>122</v>
      </c>
      <c r="J32" s="44" t="s">
        <v>123</v>
      </c>
      <c r="K32" s="43">
        <v>5611</v>
      </c>
      <c r="L32" s="43" t="s">
        <v>124</v>
      </c>
      <c r="M32" s="44" t="s">
        <v>119</v>
      </c>
      <c r="N32" s="44" t="s">
        <v>125</v>
      </c>
      <c r="O32" s="45" t="s">
        <v>126</v>
      </c>
      <c r="P32" s="46" t="s">
        <v>127</v>
      </c>
    </row>
    <row r="33" spans="2:6">
      <c r="B33" s="3"/>
      <c r="E33" s="42"/>
      <c r="F33" s="3"/>
    </row>
    <row r="34" spans="2:6">
      <c r="B34" s="3"/>
      <c r="E34" s="42"/>
      <c r="F34" s="3"/>
    </row>
    <row r="35" spans="2:6">
      <c r="B35" s="3"/>
      <c r="E35" s="42"/>
      <c r="F35" s="3"/>
    </row>
    <row r="36" spans="2:6">
      <c r="B36" s="3"/>
      <c r="E36" s="42"/>
      <c r="F36" s="3"/>
    </row>
    <row r="37" spans="2:6">
      <c r="B37" s="3"/>
      <c r="F37" s="3"/>
    </row>
    <row r="38" spans="2:6">
      <c r="B38" s="3"/>
      <c r="F38" s="3"/>
    </row>
    <row r="39" spans="2:6">
      <c r="B39" s="3"/>
      <c r="F39" s="3"/>
    </row>
    <row r="40" spans="2:6">
      <c r="B40" s="3"/>
      <c r="F40" s="3"/>
    </row>
    <row r="41" spans="2:6">
      <c r="B41" s="3"/>
      <c r="F41" s="3"/>
    </row>
    <row r="42" spans="2:6">
      <c r="B42" s="3"/>
      <c r="F42" s="3"/>
    </row>
    <row r="43" spans="2:6">
      <c r="B43" s="3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  <row r="804" spans="2:6">
      <c r="B804" s="3"/>
      <c r="F804" s="3"/>
    </row>
    <row r="805" spans="2:6">
      <c r="B805" s="3"/>
      <c r="F805" s="3"/>
    </row>
    <row r="806" spans="2:6">
      <c r="B806" s="3"/>
      <c r="F806" s="3"/>
    </row>
    <row r="807" spans="2:6">
      <c r="B807" s="3"/>
      <c r="F807" s="3"/>
    </row>
    <row r="808" spans="2:6">
      <c r="B808" s="3"/>
      <c r="F808" s="3"/>
    </row>
    <row r="809" spans="2:6">
      <c r="B809" s="3"/>
      <c r="F809" s="3"/>
    </row>
    <row r="810" spans="2:6">
      <c r="B810" s="3"/>
      <c r="F810" s="3"/>
    </row>
    <row r="811" spans="2:6">
      <c r="B811" s="3"/>
      <c r="F811" s="3"/>
    </row>
    <row r="812" spans="2:6">
      <c r="B812" s="3"/>
      <c r="F812" s="3"/>
    </row>
    <row r="813" spans="2:6">
      <c r="B813" s="3"/>
      <c r="F813" s="3"/>
    </row>
    <row r="814" spans="2:6">
      <c r="B814" s="3"/>
      <c r="F814" s="3"/>
    </row>
    <row r="815" spans="2:6">
      <c r="B815" s="3"/>
      <c r="F815" s="3"/>
    </row>
    <row r="816" spans="2:6">
      <c r="B816" s="3"/>
      <c r="F816" s="3"/>
    </row>
    <row r="817" spans="2:6">
      <c r="B817" s="3"/>
      <c r="F817" s="3"/>
    </row>
    <row r="818" spans="2:6">
      <c r="B818" s="3"/>
      <c r="F818" s="3"/>
    </row>
    <row r="819" spans="2:6">
      <c r="B819" s="3"/>
      <c r="F819" s="3"/>
    </row>
    <row r="820" spans="2:6">
      <c r="B820" s="3"/>
      <c r="F820" s="3"/>
    </row>
    <row r="821" spans="2:6">
      <c r="B821" s="3"/>
      <c r="F821" s="3"/>
    </row>
    <row r="822" spans="2:6">
      <c r="B822" s="3"/>
      <c r="F822" s="3"/>
    </row>
    <row r="823" spans="2:6">
      <c r="B823" s="3"/>
      <c r="F823" s="3"/>
    </row>
    <row r="824" spans="2:6">
      <c r="B824" s="3"/>
      <c r="F824" s="3"/>
    </row>
  </sheetData>
  <phoneticPr fontId="7" type="noConversion"/>
  <hyperlinks>
    <hyperlink ref="P11" r:id="rId1" display="http://www.konkoly.hu/cgi-bin/IBVS?5931"/>
    <hyperlink ref="P32" r:id="rId2" display="http://www.bav-astro.de/sfs/BAVM_link.php?BAVMnr=212"/>
    <hyperlink ref="P12" r:id="rId3" display="http://www.bav-astro.de/sfs/BAVM_link.php?BAVMnr=21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2024-01-31T04:12:43Z</dcterms:modified>
</cp:coreProperties>
</file>