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7D50340-EF7E-4020-B5F0-1F7C3B4E2D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R94" i="1" l="1"/>
  <c r="R95" i="1"/>
  <c r="E95" i="1"/>
  <c r="F95" i="1" s="1"/>
  <c r="G95" i="1" s="1"/>
  <c r="I95" i="1" s="1"/>
  <c r="Q95" i="1"/>
  <c r="Q93" i="1"/>
  <c r="Q94" i="1"/>
  <c r="C7" i="1"/>
  <c r="E93" i="1"/>
  <c r="F93" i="1"/>
  <c r="G93" i="1"/>
  <c r="C8" i="1"/>
  <c r="E73" i="1"/>
  <c r="F73" i="1"/>
  <c r="G73" i="1"/>
  <c r="E81" i="1"/>
  <c r="F81" i="1"/>
  <c r="E86" i="1"/>
  <c r="F86" i="1"/>
  <c r="G86" i="1"/>
  <c r="E88" i="1"/>
  <c r="F88" i="1"/>
  <c r="G88" i="1"/>
  <c r="E31" i="1"/>
  <c r="F31" i="1"/>
  <c r="E33" i="1"/>
  <c r="F33" i="1"/>
  <c r="E34" i="1"/>
  <c r="F34" i="1"/>
  <c r="E36" i="1"/>
  <c r="F36" i="1"/>
  <c r="G36" i="1"/>
  <c r="E37" i="1"/>
  <c r="F37" i="1"/>
  <c r="E40" i="1"/>
  <c r="F40" i="1"/>
  <c r="E41" i="1"/>
  <c r="F41" i="1"/>
  <c r="E42" i="1"/>
  <c r="F42" i="1"/>
  <c r="G42" i="1"/>
  <c r="E44" i="1"/>
  <c r="F44" i="1"/>
  <c r="E46" i="1"/>
  <c r="F46" i="1"/>
  <c r="E48" i="1"/>
  <c r="F48" i="1"/>
  <c r="E51" i="1"/>
  <c r="F51" i="1"/>
  <c r="G51" i="1"/>
  <c r="E54" i="1"/>
  <c r="F54" i="1"/>
  <c r="E65" i="1"/>
  <c r="F65" i="1"/>
  <c r="E74" i="1"/>
  <c r="F74" i="1"/>
  <c r="E89" i="1"/>
  <c r="F89" i="1"/>
  <c r="G89" i="1"/>
  <c r="E92" i="1"/>
  <c r="F92" i="1"/>
  <c r="G92" i="1"/>
  <c r="E21" i="1"/>
  <c r="F21" i="1"/>
  <c r="G21" i="1"/>
  <c r="E22" i="1"/>
  <c r="F22" i="1"/>
  <c r="G22" i="1"/>
  <c r="R22" i="1"/>
  <c r="E23" i="1"/>
  <c r="F23" i="1"/>
  <c r="G23" i="1"/>
  <c r="E27" i="1"/>
  <c r="F27" i="1"/>
  <c r="G27" i="1"/>
  <c r="R27" i="1"/>
  <c r="E28" i="1"/>
  <c r="F28" i="1"/>
  <c r="G28" i="1"/>
  <c r="E29" i="1"/>
  <c r="F29" i="1"/>
  <c r="G29" i="1"/>
  <c r="R29" i="1"/>
  <c r="E30" i="1"/>
  <c r="F30" i="1"/>
  <c r="G30" i="1"/>
  <c r="E32" i="1"/>
  <c r="F32" i="1"/>
  <c r="G32" i="1"/>
  <c r="R32" i="1"/>
  <c r="E35" i="1"/>
  <c r="F35" i="1"/>
  <c r="G35" i="1"/>
  <c r="E38" i="1"/>
  <c r="F38" i="1"/>
  <c r="G38" i="1"/>
  <c r="R38" i="1"/>
  <c r="E45" i="1"/>
  <c r="F45" i="1"/>
  <c r="G45" i="1"/>
  <c r="E50" i="1"/>
  <c r="F50" i="1"/>
  <c r="G50" i="1"/>
  <c r="R50" i="1"/>
  <c r="E53" i="1"/>
  <c r="F53" i="1"/>
  <c r="G53" i="1"/>
  <c r="E47" i="1"/>
  <c r="F47" i="1"/>
  <c r="G47" i="1"/>
  <c r="R47" i="1"/>
  <c r="E39" i="1"/>
  <c r="F39" i="1"/>
  <c r="G39" i="1"/>
  <c r="E43" i="1"/>
  <c r="F43" i="1"/>
  <c r="G43" i="1"/>
  <c r="R43" i="1"/>
  <c r="E49" i="1"/>
  <c r="F49" i="1"/>
  <c r="G49" i="1"/>
  <c r="E52" i="1"/>
  <c r="F52" i="1"/>
  <c r="G52" i="1"/>
  <c r="R52" i="1"/>
  <c r="E55" i="1"/>
  <c r="F55" i="1"/>
  <c r="G55" i="1"/>
  <c r="E56" i="1"/>
  <c r="F56" i="1"/>
  <c r="G56" i="1"/>
  <c r="R56" i="1"/>
  <c r="E57" i="1"/>
  <c r="F57" i="1"/>
  <c r="G57" i="1"/>
  <c r="E58" i="1"/>
  <c r="F58" i="1"/>
  <c r="G58" i="1"/>
  <c r="R58" i="1"/>
  <c r="E85" i="1"/>
  <c r="F85" i="1"/>
  <c r="E80" i="1"/>
  <c r="F80" i="1"/>
  <c r="G80" i="1"/>
  <c r="E66" i="1"/>
  <c r="F66" i="1"/>
  <c r="G66" i="1"/>
  <c r="E76" i="1"/>
  <c r="F76" i="1"/>
  <c r="G76" i="1"/>
  <c r="R76" i="1"/>
  <c r="E77" i="1"/>
  <c r="F77" i="1"/>
  <c r="G77" i="1"/>
  <c r="E64" i="1"/>
  <c r="F64" i="1"/>
  <c r="G64" i="1"/>
  <c r="R64" i="1"/>
  <c r="E69" i="1"/>
  <c r="F69" i="1"/>
  <c r="G69" i="1"/>
  <c r="E62" i="1"/>
  <c r="F62" i="1"/>
  <c r="G62" i="1"/>
  <c r="R62" i="1"/>
  <c r="E79" i="1"/>
  <c r="F79" i="1"/>
  <c r="G79" i="1"/>
  <c r="E87" i="1"/>
  <c r="F87" i="1"/>
  <c r="E90" i="1"/>
  <c r="F90" i="1"/>
  <c r="G90" i="1"/>
  <c r="E24" i="1"/>
  <c r="F24" i="1"/>
  <c r="E26" i="1"/>
  <c r="F26" i="1"/>
  <c r="U26" i="1"/>
  <c r="E71" i="1"/>
  <c r="F71" i="1"/>
  <c r="G71" i="1"/>
  <c r="E61" i="1"/>
  <c r="F61" i="1"/>
  <c r="E67" i="1"/>
  <c r="F67" i="1"/>
  <c r="E68" i="1"/>
  <c r="F68" i="1"/>
  <c r="G68" i="1"/>
  <c r="E75" i="1"/>
  <c r="F75" i="1"/>
  <c r="G75" i="1"/>
  <c r="E59" i="1"/>
  <c r="F59" i="1"/>
  <c r="G59" i="1"/>
  <c r="I59" i="1"/>
  <c r="E60" i="1"/>
  <c r="F60" i="1"/>
  <c r="E63" i="1"/>
  <c r="F63" i="1"/>
  <c r="G63" i="1"/>
  <c r="E70" i="1"/>
  <c r="F70" i="1"/>
  <c r="G70" i="1"/>
  <c r="E72" i="1"/>
  <c r="F72" i="1"/>
  <c r="G72" i="1"/>
  <c r="E78" i="1"/>
  <c r="F78" i="1"/>
  <c r="G78" i="1"/>
  <c r="E91" i="1"/>
  <c r="F91" i="1"/>
  <c r="G91" i="1"/>
  <c r="E82" i="1"/>
  <c r="F82" i="1"/>
  <c r="G82" i="1"/>
  <c r="E83" i="1"/>
  <c r="F83" i="1"/>
  <c r="E84" i="1"/>
  <c r="F84" i="1"/>
  <c r="G84" i="1"/>
  <c r="C14" i="1"/>
  <c r="C13" i="1"/>
  <c r="G31" i="1"/>
  <c r="S31" i="1"/>
  <c r="G33" i="1"/>
  <c r="S33" i="1"/>
  <c r="U34" i="1"/>
  <c r="G37" i="1"/>
  <c r="I37" i="1"/>
  <c r="G40" i="1"/>
  <c r="S40" i="1"/>
  <c r="G41" i="1"/>
  <c r="S41" i="1"/>
  <c r="G44" i="1"/>
  <c r="I44" i="1"/>
  <c r="G46" i="1"/>
  <c r="S46" i="1"/>
  <c r="G48" i="1"/>
  <c r="S48" i="1"/>
  <c r="G54" i="1"/>
  <c r="I54" i="1"/>
  <c r="G65" i="1"/>
  <c r="S65" i="1"/>
  <c r="G74" i="1"/>
  <c r="S74" i="1"/>
  <c r="G24" i="1"/>
  <c r="I24" i="1"/>
  <c r="G67" i="1"/>
  <c r="S67" i="1"/>
  <c r="D14" i="1"/>
  <c r="D13" i="1"/>
  <c r="Q25" i="1"/>
  <c r="I31" i="1"/>
  <c r="Q31" i="1"/>
  <c r="Q33" i="1"/>
  <c r="Q34" i="1"/>
  <c r="Q36" i="1"/>
  <c r="Q37" i="1"/>
  <c r="I40" i="1"/>
  <c r="Q40" i="1"/>
  <c r="I41" i="1"/>
  <c r="Q41" i="1"/>
  <c r="Q42" i="1"/>
  <c r="Q44" i="1"/>
  <c r="I46" i="1"/>
  <c r="Q46" i="1"/>
  <c r="I48" i="1"/>
  <c r="Q48" i="1"/>
  <c r="Q51" i="1"/>
  <c r="Q54" i="1"/>
  <c r="I65" i="1"/>
  <c r="Q65" i="1"/>
  <c r="J74" i="1"/>
  <c r="Q74" i="1"/>
  <c r="Q89" i="1"/>
  <c r="Q38" i="1"/>
  <c r="Q39" i="1"/>
  <c r="Q43" i="1"/>
  <c r="Q45" i="1"/>
  <c r="Q47" i="1"/>
  <c r="Q49" i="1"/>
  <c r="Q50" i="1"/>
  <c r="Q52" i="1"/>
  <c r="Q53" i="1"/>
  <c r="Q55" i="1"/>
  <c r="Q56" i="1"/>
  <c r="Q57" i="1"/>
  <c r="Q58" i="1"/>
  <c r="Q85" i="1"/>
  <c r="Q24" i="1"/>
  <c r="Q92" i="1"/>
  <c r="Q21" i="1"/>
  <c r="Q22" i="1"/>
  <c r="Q23" i="1"/>
  <c r="Q26" i="1"/>
  <c r="Q27" i="1"/>
  <c r="Q28" i="1"/>
  <c r="Q29" i="1"/>
  <c r="Q30" i="1"/>
  <c r="Q32" i="1"/>
  <c r="Q35" i="1"/>
  <c r="G12" i="2"/>
  <c r="C12" i="2"/>
  <c r="E12" i="2"/>
  <c r="G33" i="2"/>
  <c r="C33" i="2"/>
  <c r="E33" i="2"/>
  <c r="G32" i="2"/>
  <c r="C32" i="2"/>
  <c r="E32" i="2"/>
  <c r="G77" i="2"/>
  <c r="C77" i="2"/>
  <c r="E77" i="2"/>
  <c r="G31" i="2"/>
  <c r="C31" i="2"/>
  <c r="E31" i="2"/>
  <c r="G30" i="2"/>
  <c r="C30" i="2"/>
  <c r="E30" i="2"/>
  <c r="G29" i="2"/>
  <c r="C29" i="2"/>
  <c r="E29" i="2"/>
  <c r="G76" i="2"/>
  <c r="C76" i="2"/>
  <c r="E76" i="2"/>
  <c r="G75" i="2"/>
  <c r="C75" i="2"/>
  <c r="E75" i="2"/>
  <c r="G74" i="2"/>
  <c r="C74" i="2"/>
  <c r="E74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73" i="2"/>
  <c r="C73" i="2"/>
  <c r="E7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72" i="2"/>
  <c r="C72" i="2"/>
  <c r="E72" i="2"/>
  <c r="G15" i="2"/>
  <c r="C15" i="2"/>
  <c r="E15" i="2"/>
  <c r="G14" i="2"/>
  <c r="C14" i="2"/>
  <c r="E14" i="2"/>
  <c r="G13" i="2"/>
  <c r="C13" i="2"/>
  <c r="E13" i="2"/>
  <c r="G11" i="2"/>
  <c r="C11" i="2"/>
  <c r="E11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G37" i="2"/>
  <c r="C37" i="2"/>
  <c r="E37" i="2"/>
  <c r="G36" i="2"/>
  <c r="C36" i="2"/>
  <c r="E36" i="2"/>
  <c r="G35" i="2"/>
  <c r="C35" i="2"/>
  <c r="E35" i="2"/>
  <c r="G34" i="2"/>
  <c r="C34" i="2"/>
  <c r="E34" i="2"/>
  <c r="H12" i="2"/>
  <c r="D12" i="2"/>
  <c r="B12" i="2"/>
  <c r="A12" i="2"/>
  <c r="H33" i="2"/>
  <c r="D33" i="2"/>
  <c r="B33" i="2"/>
  <c r="A33" i="2"/>
  <c r="H32" i="2"/>
  <c r="D32" i="2"/>
  <c r="B32" i="2"/>
  <c r="A32" i="2"/>
  <c r="H77" i="2"/>
  <c r="D77" i="2"/>
  <c r="B77" i="2"/>
  <c r="A77" i="2"/>
  <c r="H31" i="2"/>
  <c r="D31" i="2"/>
  <c r="B31" i="2"/>
  <c r="A31" i="2"/>
  <c r="H30" i="2"/>
  <c r="D30" i="2"/>
  <c r="B30" i="2"/>
  <c r="A30" i="2"/>
  <c r="H29" i="2"/>
  <c r="D29" i="2"/>
  <c r="B29" i="2"/>
  <c r="A29" i="2"/>
  <c r="H76" i="2"/>
  <c r="D76" i="2"/>
  <c r="B76" i="2"/>
  <c r="A76" i="2"/>
  <c r="H75" i="2"/>
  <c r="D75" i="2"/>
  <c r="B75" i="2"/>
  <c r="A75" i="2"/>
  <c r="H74" i="2"/>
  <c r="D74" i="2"/>
  <c r="B74" i="2"/>
  <c r="A74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73" i="2"/>
  <c r="D73" i="2"/>
  <c r="B73" i="2"/>
  <c r="A7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72" i="2"/>
  <c r="D72" i="2"/>
  <c r="B72" i="2"/>
  <c r="A72" i="2"/>
  <c r="H15" i="2"/>
  <c r="D15" i="2"/>
  <c r="B15" i="2"/>
  <c r="A15" i="2"/>
  <c r="H14" i="2"/>
  <c r="D14" i="2"/>
  <c r="B14" i="2"/>
  <c r="A14" i="2"/>
  <c r="H13" i="2"/>
  <c r="D13" i="2"/>
  <c r="B13" i="2"/>
  <c r="A13" i="2"/>
  <c r="H11" i="2"/>
  <c r="D11" i="2"/>
  <c r="B11" i="2"/>
  <c r="A11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Q90" i="1"/>
  <c r="Q91" i="1"/>
  <c r="F12" i="1"/>
  <c r="F13" i="1" s="1"/>
  <c r="Q86" i="1"/>
  <c r="Q88" i="1"/>
  <c r="Q87" i="1"/>
  <c r="Q82" i="1"/>
  <c r="Q83" i="1"/>
  <c r="Q84" i="1"/>
  <c r="C17" i="1"/>
  <c r="Q81" i="1"/>
  <c r="Q73" i="1"/>
  <c r="G61" i="1"/>
  <c r="Q59" i="1"/>
  <c r="I61" i="1"/>
  <c r="Q61" i="1"/>
  <c r="J62" i="1"/>
  <c r="Q62" i="1"/>
  <c r="Q63" i="1"/>
  <c r="I64" i="1"/>
  <c r="Q64" i="1"/>
  <c r="Q66" i="1"/>
  <c r="J67" i="1"/>
  <c r="Q67" i="1"/>
  <c r="Q68" i="1"/>
  <c r="Q69" i="1"/>
  <c r="Q70" i="1"/>
  <c r="Q71" i="1"/>
  <c r="Q72" i="1"/>
  <c r="Q75" i="1"/>
  <c r="I76" i="1"/>
  <c r="Q76" i="1"/>
  <c r="Q77" i="1"/>
  <c r="Q78" i="1"/>
  <c r="Q79" i="1"/>
  <c r="Q80" i="1"/>
  <c r="G60" i="1"/>
  <c r="H60" i="1"/>
  <c r="Q60" i="1"/>
  <c r="J84" i="1"/>
  <c r="S84" i="1"/>
  <c r="S72" i="1"/>
  <c r="J72" i="1"/>
  <c r="J75" i="1"/>
  <c r="S75" i="1"/>
  <c r="I69" i="1"/>
  <c r="R69" i="1"/>
  <c r="I66" i="1"/>
  <c r="R66" i="1"/>
  <c r="R49" i="1"/>
  <c r="I49" i="1"/>
  <c r="I21" i="1"/>
  <c r="R21" i="1"/>
  <c r="S36" i="1"/>
  <c r="I36" i="1"/>
  <c r="J86" i="1"/>
  <c r="R86" i="1"/>
  <c r="S68" i="1"/>
  <c r="J68" i="1"/>
  <c r="I80" i="1"/>
  <c r="R80" i="1"/>
  <c r="R30" i="1"/>
  <c r="I30" i="1"/>
  <c r="S42" i="1"/>
  <c r="I42" i="1"/>
  <c r="J70" i="1"/>
  <c r="S70" i="1"/>
  <c r="R90" i="1"/>
  <c r="I90" i="1"/>
  <c r="I53" i="1"/>
  <c r="R53" i="1"/>
  <c r="R92" i="1"/>
  <c r="I92" i="1"/>
  <c r="S51" i="1"/>
  <c r="I51" i="1"/>
  <c r="J82" i="1"/>
  <c r="S82" i="1"/>
  <c r="J63" i="1"/>
  <c r="S63" i="1"/>
  <c r="R55" i="1"/>
  <c r="I55" i="1"/>
  <c r="I23" i="1"/>
  <c r="R23" i="1"/>
  <c r="I89" i="1"/>
  <c r="S89" i="1"/>
  <c r="S73" i="1"/>
  <c r="J73" i="1"/>
  <c r="I79" i="1"/>
  <c r="R79" i="1"/>
  <c r="J77" i="1"/>
  <c r="R77" i="1"/>
  <c r="R35" i="1"/>
  <c r="I35" i="1"/>
  <c r="I91" i="1"/>
  <c r="S91" i="1"/>
  <c r="R39" i="1"/>
  <c r="I39" i="1"/>
  <c r="I93" i="1"/>
  <c r="R93" i="1"/>
  <c r="S78" i="1"/>
  <c r="I78" i="1"/>
  <c r="J71" i="1"/>
  <c r="S71" i="1"/>
  <c r="R57" i="1"/>
  <c r="I57" i="1"/>
  <c r="R28" i="1"/>
  <c r="I28" i="1"/>
  <c r="E38" i="2"/>
  <c r="R45" i="1"/>
  <c r="I45" i="1"/>
  <c r="J88" i="1"/>
  <c r="R88" i="1"/>
  <c r="I33" i="1"/>
  <c r="S54" i="1"/>
  <c r="S44" i="1"/>
  <c r="S37" i="1"/>
  <c r="E25" i="1"/>
  <c r="F25" i="1"/>
  <c r="G25" i="1"/>
  <c r="E94" i="1"/>
  <c r="F94" i="1"/>
  <c r="G94" i="1"/>
  <c r="I22" i="1"/>
  <c r="I52" i="1"/>
  <c r="S24" i="1"/>
  <c r="G85" i="1"/>
  <c r="G87" i="1"/>
  <c r="I32" i="1"/>
  <c r="I29" i="1"/>
  <c r="I27" i="1"/>
  <c r="I58" i="1"/>
  <c r="I56" i="1"/>
  <c r="I50" i="1"/>
  <c r="I47" i="1"/>
  <c r="I43" i="1"/>
  <c r="I38" i="1"/>
  <c r="G83" i="1"/>
  <c r="G81" i="1"/>
  <c r="I87" i="1"/>
  <c r="R87" i="1"/>
  <c r="I94" i="1"/>
  <c r="I25" i="1"/>
  <c r="S25" i="1"/>
  <c r="R19" i="1"/>
  <c r="E18" i="1" s="1"/>
  <c r="J83" i="1"/>
  <c r="S83" i="1"/>
  <c r="R85" i="1"/>
  <c r="I85" i="1"/>
  <c r="J81" i="1"/>
  <c r="R81" i="1"/>
  <c r="S19" i="1"/>
  <c r="E19" i="1" s="1"/>
  <c r="D12" i="1"/>
  <c r="D11" i="1"/>
  <c r="C12" i="1"/>
  <c r="P95" i="1" l="1"/>
  <c r="D16" i="1"/>
  <c r="D19" i="1" s="1"/>
  <c r="C16" i="1"/>
  <c r="D18" i="1" s="1"/>
  <c r="P82" i="1"/>
  <c r="P93" i="1"/>
  <c r="P38" i="1"/>
  <c r="P21" i="1"/>
  <c r="P91" i="1"/>
  <c r="P46" i="1"/>
  <c r="P35" i="1"/>
  <c r="P64" i="1"/>
  <c r="P73" i="1"/>
  <c r="P84" i="1"/>
  <c r="P34" i="1"/>
  <c r="P43" i="1"/>
  <c r="P23" i="1"/>
  <c r="P87" i="1"/>
  <c r="P68" i="1"/>
  <c r="P51" i="1"/>
  <c r="P57" i="1"/>
  <c r="P62" i="1"/>
  <c r="P88" i="1"/>
  <c r="P58" i="1"/>
  <c r="P49" i="1"/>
  <c r="P75" i="1"/>
  <c r="P81" i="1"/>
  <c r="P37" i="1"/>
  <c r="P47" i="1"/>
  <c r="P27" i="1"/>
  <c r="P59" i="1"/>
  <c r="P69" i="1"/>
  <c r="P65" i="1"/>
  <c r="P85" i="1"/>
  <c r="P25" i="1"/>
  <c r="P40" i="1"/>
  <c r="P70" i="1"/>
  <c r="P76" i="1"/>
  <c r="P41" i="1"/>
  <c r="P50" i="1"/>
  <c r="P29" i="1"/>
  <c r="P86" i="1"/>
  <c r="P80" i="1"/>
  <c r="P89" i="1"/>
  <c r="P92" i="1"/>
  <c r="P33" i="1"/>
  <c r="P77" i="1"/>
  <c r="P72" i="1"/>
  <c r="P44" i="1"/>
  <c r="P53" i="1"/>
  <c r="P32" i="1"/>
  <c r="P67" i="1"/>
  <c r="P94" i="1"/>
  <c r="P39" i="1"/>
  <c r="P22" i="1"/>
  <c r="P90" i="1"/>
  <c r="P79" i="1"/>
  <c r="P54" i="1"/>
  <c r="P83" i="1"/>
  <c r="P28" i="1"/>
  <c r="P78" i="1"/>
  <c r="P61" i="1"/>
  <c r="P48" i="1"/>
  <c r="P56" i="1"/>
  <c r="P71" i="1"/>
  <c r="P63" i="1"/>
  <c r="P36" i="1"/>
  <c r="P45" i="1"/>
  <c r="P26" i="1"/>
  <c r="P60" i="1"/>
  <c r="P66" i="1"/>
  <c r="P74" i="1"/>
  <c r="P24" i="1"/>
  <c r="P31" i="1"/>
  <c r="D15" i="1"/>
  <c r="C19" i="1" s="1"/>
  <c r="P42" i="1"/>
  <c r="P52" i="1"/>
  <c r="P30" i="1"/>
  <c r="P55" i="1"/>
  <c r="C11" i="1"/>
  <c r="O78" i="1" l="1"/>
  <c r="O49" i="1"/>
  <c r="O34" i="1"/>
  <c r="O90" i="1"/>
  <c r="O86" i="1"/>
  <c r="O66" i="1"/>
  <c r="C15" i="1"/>
  <c r="F14" i="1" s="1"/>
  <c r="F15" i="1" s="1"/>
  <c r="O73" i="1"/>
  <c r="O22" i="1"/>
  <c r="O58" i="1"/>
  <c r="O45" i="1"/>
  <c r="O71" i="1"/>
  <c r="O44" i="1"/>
  <c r="O95" i="1"/>
  <c r="O82" i="1"/>
  <c r="O28" i="1"/>
  <c r="O43" i="1"/>
  <c r="O65" i="1"/>
  <c r="O46" i="1"/>
  <c r="O41" i="1"/>
  <c r="O53" i="1"/>
  <c r="O87" i="1"/>
  <c r="O60" i="1"/>
  <c r="O83" i="1"/>
  <c r="O29" i="1"/>
  <c r="O84" i="1"/>
  <c r="O77" i="1"/>
  <c r="O33" i="1"/>
  <c r="O23" i="1"/>
  <c r="O70" i="1"/>
  <c r="O55" i="1"/>
  <c r="O50" i="1"/>
  <c r="O64" i="1"/>
  <c r="O54" i="1"/>
  <c r="O74" i="1"/>
  <c r="O38" i="1"/>
  <c r="O67" i="1"/>
  <c r="O81" i="1"/>
  <c r="O35" i="1"/>
  <c r="O56" i="1"/>
  <c r="O79" i="1"/>
  <c r="O40" i="1"/>
  <c r="O30" i="1"/>
  <c r="O57" i="1"/>
  <c r="O39" i="1"/>
  <c r="O72" i="1"/>
  <c r="O21" i="1"/>
  <c r="O85" i="1"/>
  <c r="O25" i="1"/>
  <c r="O37" i="1"/>
  <c r="O88" i="1"/>
  <c r="O31" i="1"/>
  <c r="O93" i="1"/>
  <c r="O69" i="1"/>
  <c r="O36" i="1"/>
  <c r="O68" i="1"/>
  <c r="O92" i="1"/>
  <c r="O27" i="1"/>
  <c r="O51" i="1"/>
  <c r="O76" i="1"/>
  <c r="O48" i="1"/>
  <c r="O24" i="1"/>
  <c r="O63" i="1"/>
  <c r="O59" i="1"/>
  <c r="O42" i="1"/>
  <c r="O47" i="1"/>
  <c r="O32" i="1"/>
  <c r="O61" i="1"/>
  <c r="O75" i="1"/>
  <c r="O80" i="1"/>
  <c r="O26" i="1"/>
  <c r="O62" i="1"/>
  <c r="O52" i="1"/>
  <c r="O91" i="1"/>
  <c r="O94" i="1"/>
  <c r="O89" i="1"/>
  <c r="C18" i="1" l="1"/>
</calcChain>
</file>

<file path=xl/sharedStrings.xml><?xml version="1.0" encoding="utf-8"?>
<sst xmlns="http://schemas.openxmlformats.org/spreadsheetml/2006/main" count="774" uniqueCount="349">
  <si>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</si>
  <si>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</si>
  <si>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</si>
  <si>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</si>
  <si>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</si>
  <si>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</si>
  <si>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</si>
  <si>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</si>
  <si>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</si>
  <si>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</si>
  <si>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</si>
  <si>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</si>
  <si>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</si>
  <si>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</si>
  <si>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</si>
  <si>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</si>
  <si>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</si>
  <si>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</si>
  <si>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</si>
  <si>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</si>
  <si>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Misc</t>
  </si>
  <si>
    <t>Diethelm R</t>
  </si>
  <si>
    <t>BBSAG Bull.34</t>
  </si>
  <si>
    <t>B</t>
  </si>
  <si>
    <t>v</t>
  </si>
  <si>
    <t>BAV-M 32</t>
  </si>
  <si>
    <t>K</t>
  </si>
  <si>
    <t>phe</t>
  </si>
  <si>
    <t>IBVS 4217</t>
  </si>
  <si>
    <t>IBVS 3286</t>
  </si>
  <si>
    <t>BBSAG Bull.102</t>
  </si>
  <si>
    <t>V</t>
  </si>
  <si>
    <t>BAV-M 68</t>
  </si>
  <si>
    <t>IBVS 4194</t>
  </si>
  <si>
    <t>AJ 115,801</t>
  </si>
  <si>
    <t>ccd</t>
  </si>
  <si>
    <t>IBVS 4597</t>
  </si>
  <si>
    <t>BBSAG Bull.110</t>
  </si>
  <si>
    <t>BBSAG Bull.112</t>
  </si>
  <si>
    <t>IBVS 4680</t>
  </si>
  <si>
    <t>R.Diethelm</t>
  </si>
  <si>
    <t>BBSAG 120</t>
  </si>
  <si>
    <t>II</t>
  </si>
  <si>
    <t>Primary</t>
  </si>
  <si>
    <t>Secondary</t>
  </si>
  <si>
    <t>Prim Fit</t>
  </si>
  <si>
    <t>Sec. Fit</t>
  </si>
  <si>
    <t>EA/DM</t>
  </si>
  <si>
    <t>Prim. Ephemeris =</t>
  </si>
  <si>
    <t>Sec. Ephemeris =</t>
  </si>
  <si>
    <t>IBVS 5745</t>
  </si>
  <si>
    <t>I</t>
  </si>
  <si>
    <t>Start of Lin fit (row)</t>
  </si>
  <si>
    <t>Start cell (x)</t>
  </si>
  <si>
    <t>Start cell (y)</t>
  </si>
  <si>
    <t># of data points =</t>
  </si>
  <si>
    <t>OEJV 0074</t>
  </si>
  <si>
    <t>OEJV 0094</t>
  </si>
  <si>
    <t>IBVS 6010</t>
  </si>
  <si>
    <t>V0541 Cyg / GSC 2656-3703</t>
  </si>
  <si>
    <t>OEJV 0160</t>
  </si>
  <si>
    <t>Add cycle</t>
  </si>
  <si>
    <t>JD today</t>
  </si>
  <si>
    <t>Old Cycle</t>
  </si>
  <si>
    <t>New Cycle</t>
  </si>
  <si>
    <t>Next ToM</t>
  </si>
  <si>
    <t>Local time</t>
  </si>
  <si>
    <t>IBVS 6149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</si>
  <si>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</si>
  <si>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</si>
  <si>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</si>
  <si>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</si>
  <si>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</si>
  <si>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</si>
  <si>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</si>
  <si>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</si>
  <si>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</si>
  <si>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</si>
  <si>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</si>
  <si>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</si>
  <si>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F </t>
  </si>
  <si>
    <t>2418240.22 </t>
  </si>
  <si>
    <t> 25.10.1908 17:16 </t>
  </si>
  <si>
    <t> -0.26 </t>
  </si>
  <si>
    <t>P </t>
  </si>
  <si>
    <t> P.Kulikovsky </t>
  </si>
  <si>
    <t> AC 113.14 </t>
  </si>
  <si>
    <t>2426507.47 </t>
  </si>
  <si>
    <t> 14.06.1931 23:16 </t>
  </si>
  <si>
    <t> -0.08 </t>
  </si>
  <si>
    <t> G.Poehnitzsch </t>
  </si>
  <si>
    <t> AA 11.52 </t>
  </si>
  <si>
    <t>2428762.20 </t>
  </si>
  <si>
    <t> 16.08.1937 16:48 </t>
  </si>
  <si>
    <t> -0.00 </t>
  </si>
  <si>
    <t> PZ 6.102 </t>
  </si>
  <si>
    <t>2428784.42 </t>
  </si>
  <si>
    <t> 07.09.1937 22:04 </t>
  </si>
  <si>
    <t> -0.14 </t>
  </si>
  <si>
    <t>2429106.46 </t>
  </si>
  <si>
    <t> 26.07.1938 23:02 </t>
  </si>
  <si>
    <t> -0.19 </t>
  </si>
  <si>
    <t>2429134.36 </t>
  </si>
  <si>
    <t> 23.08.1938 20:38 </t>
  </si>
  <si>
    <t> 4.05 </t>
  </si>
  <si>
    <t>2429375.57 </t>
  </si>
  <si>
    <t> 22.04.1939 01:40 </t>
  </si>
  <si>
    <t> -0.15 </t>
  </si>
  <si>
    <t>2429498.36 </t>
  </si>
  <si>
    <t> 22.08.1939 20:38 </t>
  </si>
  <si>
    <t> -0.06 </t>
  </si>
  <si>
    <t>2429728.57 </t>
  </si>
  <si>
    <t> 09.04.1940 01:40 </t>
  </si>
  <si>
    <t> 0.08 </t>
  </si>
  <si>
    <t>2430464.54 </t>
  </si>
  <si>
    <t> 15.04.1942 00:57 </t>
  </si>
  <si>
    <t> -0.16 </t>
  </si>
  <si>
    <t>2430548.29 </t>
  </si>
  <si>
    <t> 07.07.1942 18:57 </t>
  </si>
  <si>
    <t> -0.12 </t>
  </si>
  <si>
    <t> A.Soloviev </t>
  </si>
  <si>
    <t> AC 70.3 </t>
  </si>
  <si>
    <t>2431262.25 </t>
  </si>
  <si>
    <t> 20.06.1944 18:00 </t>
  </si>
  <si>
    <t> -0.01 </t>
  </si>
  <si>
    <t>2431637.26 </t>
  </si>
  <si>
    <t> 30.06.1945 18:14 </t>
  </si>
  <si>
    <t> -0.13 </t>
  </si>
  <si>
    <t>2432064.22 </t>
  </si>
  <si>
    <t> 31.08.1946 17:16 </t>
  </si>
  <si>
    <t> -2.63 </t>
  </si>
  <si>
    <t>2432719.43 </t>
  </si>
  <si>
    <t> 16.06.1948 22:19 </t>
  </si>
  <si>
    <t>V </t>
  </si>
  <si>
    <t> G.E.Erleksova </t>
  </si>
  <si>
    <t>2432772.26 </t>
  </si>
  <si>
    <t> 08.08.1948 18:14 </t>
  </si>
  <si>
    <t>2432787.62 </t>
  </si>
  <si>
    <t> 24.08.1948 02:52 </t>
  </si>
  <si>
    <t> -0.10 </t>
  </si>
  <si>
    <t> B.S.Whitney </t>
  </si>
  <si>
    <t> AC 114.15 </t>
  </si>
  <si>
    <t>2433087.26 </t>
  </si>
  <si>
    <t> 19.06.1949 18:14 </t>
  </si>
  <si>
    <t> -0.20 </t>
  </si>
  <si>
    <t>2433210.20 </t>
  </si>
  <si>
    <t> 20.10.1949 16:48 </t>
  </si>
  <si>
    <t> 0.04 </t>
  </si>
  <si>
    <t> M.Lavrov </t>
  </si>
  <si>
    <t> AC 100.17 </t>
  </si>
  <si>
    <t>2433263.08 </t>
  </si>
  <si>
    <t> 12.12.1949 13:55 </t>
  </si>
  <si>
    <t>2433585.20 </t>
  </si>
  <si>
    <t> 30.10.1950 16:48 </t>
  </si>
  <si>
    <t> -0.09 </t>
  </si>
  <si>
    <t> AC 113.15 </t>
  </si>
  <si>
    <t>2433953.29 </t>
  </si>
  <si>
    <t> 02.11.1951 18:57 </t>
  </si>
  <si>
    <t> -0.11 </t>
  </si>
  <si>
    <t> N.E.Kurotchkin </t>
  </si>
  <si>
    <t>2434636.525 </t>
  </si>
  <si>
    <t> 16.09.1953 00:36 </t>
  </si>
  <si>
    <t> -0.053 </t>
  </si>
  <si>
    <t> A.A.Wachmann </t>
  </si>
  <si>
    <t> AHSB 6.1.79 </t>
  </si>
  <si>
    <t>2435272.388 </t>
  </si>
  <si>
    <t> 13.06.1955 21:18 </t>
  </si>
  <si>
    <t> -0.058 </t>
  </si>
  <si>
    <t> R.N.Ychirina </t>
  </si>
  <si>
    <t> PZ 11.227 </t>
  </si>
  <si>
    <t>2435664.145 </t>
  </si>
  <si>
    <t> 09.07.1956 15:28 </t>
  </si>
  <si>
    <t> -0.065 </t>
  </si>
  <si>
    <t> M.Karpowicz et al. </t>
  </si>
  <si>
    <t>2435732.506 </t>
  </si>
  <si>
    <t> 16.09.1956 00:08 </t>
  </si>
  <si>
    <t> -0.074 </t>
  </si>
  <si>
    <t>2436001.593 </t>
  </si>
  <si>
    <t> 12.06.1957 02:13 </t>
  </si>
  <si>
    <t> -0.049 </t>
  </si>
  <si>
    <t> Karpowicz &amp; Zonn </t>
  </si>
  <si>
    <t> AA 8.187 </t>
  </si>
  <si>
    <t>2436008.573 </t>
  </si>
  <si>
    <t> 19.06.1957 01:45 </t>
  </si>
  <si>
    <t> -0.087 </t>
  </si>
  <si>
    <t>2436078.375 </t>
  </si>
  <si>
    <t> 27.08.1957 21:00 </t>
  </si>
  <si>
    <t> 0.044 </t>
  </si>
  <si>
    <t> Prikhodko&amp;Tschupr. </t>
  </si>
  <si>
    <t> PZ 15.521 </t>
  </si>
  <si>
    <t>2436124.273 </t>
  </si>
  <si>
    <t> 12.10.1957 18:33 </t>
  </si>
  <si>
    <t> -0.071 </t>
  </si>
  <si>
    <t>2436361.344 </t>
  </si>
  <si>
    <t> 06.06.1958 20:15 </t>
  </si>
  <si>
    <t> -0.085 </t>
  </si>
  <si>
    <t>2436400.468 </t>
  </si>
  <si>
    <t> 15.07.1958 23:13 </t>
  </si>
  <si>
    <t>2436446.376 </t>
  </si>
  <si>
    <t> 30.08.1958 21:01 </t>
  </si>
  <si>
    <t> -0.062 </t>
  </si>
  <si>
    <t>2436499.370 </t>
  </si>
  <si>
    <t> 22.10.1958 20:52 </t>
  </si>
  <si>
    <t> -0.099 </t>
  </si>
  <si>
    <t>2437136.493 </t>
  </si>
  <si>
    <t> 20.07.1960 23:49 </t>
  </si>
  <si>
    <t> -0.145 </t>
  </si>
  <si>
    <t>2437167.387 </t>
  </si>
  <si>
    <t> 20.08.1960 21:17 </t>
  </si>
  <si>
    <t> 0.073 </t>
  </si>
  <si>
    <t>2437903.372 </t>
  </si>
  <si>
    <t> 26.08.1962 20:55 </t>
  </si>
  <si>
    <t> -0.156 </t>
  </si>
  <si>
    <t>2438210.452 </t>
  </si>
  <si>
    <t> 29.06.1963 22:50 </t>
  </si>
  <si>
    <t> 0.169 </t>
  </si>
  <si>
    <t>2443348.443 </t>
  </si>
  <si>
    <t> 23.07.1977 22:37 </t>
  </si>
  <si>
    <t> 0.000 </t>
  </si>
  <si>
    <t> R.Diethelm </t>
  </si>
  <si>
    <t> BBS 34 </t>
  </si>
  <si>
    <t>2444882.2127 </t>
  </si>
  <si>
    <t> 04.10.1981 17:06 </t>
  </si>
  <si>
    <t> -0.0093 </t>
  </si>
  <si>
    <t>E </t>
  </si>
  <si>
    <t>?</t>
  </si>
  <si>
    <t> K.Khaliullin </t>
  </si>
  <si>
    <t> APJ 299.668 </t>
  </si>
  <si>
    <t>2444889.2192 </t>
  </si>
  <si>
    <t> 11.10.1981 17:15 </t>
  </si>
  <si>
    <t> -0.0214 </t>
  </si>
  <si>
    <t>2446998.8424 </t>
  </si>
  <si>
    <t> 22.07.1987 08:13 </t>
  </si>
  <si>
    <t> 0.0054 </t>
  </si>
  <si>
    <t> R.D.Lines et al. </t>
  </si>
  <si>
    <t>IBVS 3286 </t>
  </si>
  <si>
    <t>2448616.34 </t>
  </si>
  <si>
    <t> 25.12.1991 20:09 </t>
  </si>
  <si>
    <t> 0.02 </t>
  </si>
  <si>
    <t> BBS 99 </t>
  </si>
  <si>
    <t>2448839.387 </t>
  </si>
  <si>
    <t> 04.08.1992 21:17 </t>
  </si>
  <si>
    <t> 0.015 </t>
  </si>
  <si>
    <t> BBS 102 </t>
  </si>
  <si>
    <t>2449168.4947 </t>
  </si>
  <si>
    <t> 29.06.1993 23:52 </t>
  </si>
  <si>
    <t> 0.0107 </t>
  </si>
  <si>
    <t>G</t>
  </si>
  <si>
    <t> F.Agerer </t>
  </si>
  <si>
    <t>BAVM 68 </t>
  </si>
  <si>
    <t>2449168.4955 </t>
  </si>
  <si>
    <t> 29.06.1993 23:53 </t>
  </si>
  <si>
    <t> 0.0115 </t>
  </si>
  <si>
    <t>B;V</t>
  </si>
  <si>
    <t>2449560.2668 </t>
  </si>
  <si>
    <t> 26.07.1994 18:24 </t>
  </si>
  <si>
    <t> 0.0189 </t>
  </si>
  <si>
    <t> M.Zakirov et al. </t>
  </si>
  <si>
    <t>IBVS 4194 </t>
  </si>
  <si>
    <t>2449889.377 </t>
  </si>
  <si>
    <t> 20.06.1995 21:02 </t>
  </si>
  <si>
    <t> 0.017 </t>
  </si>
  <si>
    <t> M.Wolf </t>
  </si>
  <si>
    <t>IBVS 4217 </t>
  </si>
  <si>
    <t>2449904.7145 </t>
  </si>
  <si>
    <t> 06.07.1995 05:08 </t>
  </si>
  <si>
    <t> 0.0166 </t>
  </si>
  <si>
    <t> E.Guinan et al. </t>
  </si>
  <si>
    <t>IBVS 4362 </t>
  </si>
  <si>
    <t>2449935.3911 </t>
  </si>
  <si>
    <t> 05.08.1995 21:23 </t>
  </si>
  <si>
    <t> 0.0176 </t>
  </si>
  <si>
    <t> Sandberg Lacy et a </t>
  </si>
  <si>
    <t>IBVS 4597 </t>
  </si>
  <si>
    <t>2449935.3937 </t>
  </si>
  <si>
    <t> 05.08.1995 21:26 </t>
  </si>
  <si>
    <t> 0.0202 </t>
  </si>
  <si>
    <t> BBS 110/120 </t>
  </si>
  <si>
    <t>2450296.4906 </t>
  </si>
  <si>
    <t> 31.07.1996 23:46 </t>
  </si>
  <si>
    <t> 0.0287 </t>
  </si>
  <si>
    <t> BBS 112 </t>
  </si>
  <si>
    <t>2451070.3967 </t>
  </si>
  <si>
    <t> 13.09.1998 21:31 </t>
  </si>
  <si>
    <t> 0.0268 </t>
  </si>
  <si>
    <t> Volkov&amp;Khaliullin </t>
  </si>
  <si>
    <t>IBVS 4680 </t>
  </si>
  <si>
    <t>2451109.3918 </t>
  </si>
  <si>
    <t> 22.10.1998 21:24 </t>
  </si>
  <si>
    <t> 0.0271 </t>
  </si>
  <si>
    <t>2451385.4740 </t>
  </si>
  <si>
    <t> 25.07.1999 23:22 </t>
  </si>
  <si>
    <t> 0.0290 </t>
  </si>
  <si>
    <t> BBS 120 </t>
  </si>
  <si>
    <t>2453578.7911 </t>
  </si>
  <si>
    <t> 27.07.2005 06:59 </t>
  </si>
  <si>
    <t> 0.0422 </t>
  </si>
  <si>
    <t> Smith &amp; Caton </t>
  </si>
  <si>
    <t>IBVS 5745 </t>
  </si>
  <si>
    <t>2453846.55486 </t>
  </si>
  <si>
    <t> 21.04.2006 01:18 </t>
  </si>
  <si>
    <t> 0.04493 </t>
  </si>
  <si>
    <t>C </t>
  </si>
  <si>
    <t>R</t>
  </si>
  <si>
    <t> L.Brát </t>
  </si>
  <si>
    <t>OEJV 0074 </t>
  </si>
  <si>
    <t>2454659.4674 </t>
  </si>
  <si>
    <t> 11.07.2008 23:13 </t>
  </si>
  <si>
    <t> 0.0546 </t>
  </si>
  <si>
    <t> L.Šmelcer </t>
  </si>
  <si>
    <t>OEJV 0094 </t>
  </si>
  <si>
    <t>2454659.4676 </t>
  </si>
  <si>
    <t> 0.0548 </t>
  </si>
  <si>
    <t>2455066.5740 </t>
  </si>
  <si>
    <t> 23.08.2009 01:46 </t>
  </si>
  <si>
    <t> 0.0594 </t>
  </si>
  <si>
    <t>BAVM 212 </t>
  </si>
  <si>
    <t>2455741.42898 </t>
  </si>
  <si>
    <t> 28.06.2011 22:17 </t>
  </si>
  <si>
    <t> 0.05166 </t>
  </si>
  <si>
    <t>OEJV 0160 </t>
  </si>
  <si>
    <t>2455741.4299 </t>
  </si>
  <si>
    <t> 28.06.2011 22:19 </t>
  </si>
  <si>
    <t> 0.0526 </t>
  </si>
  <si>
    <t>BAVM 220 </t>
  </si>
  <si>
    <t>2455741.43011 </t>
  </si>
  <si>
    <t> 0.05279 </t>
  </si>
  <si>
    <t>2455794.4734 </t>
  </si>
  <si>
    <t> 20.08.2011 23:21 </t>
  </si>
  <si>
    <t> 0.0641 </t>
  </si>
  <si>
    <t>BAVM 225 </t>
  </si>
  <si>
    <t>2456876.4377 </t>
  </si>
  <si>
    <t> 06.08.2014 22:30 </t>
  </si>
  <si>
    <t> 0.0639 </t>
  </si>
  <si>
    <t>BAVM 238 </t>
  </si>
  <si>
    <t>2456929.4809 </t>
  </si>
  <si>
    <t> 28.09.2014 23:32 </t>
  </si>
  <si>
    <t> 0.0752 </t>
  </si>
  <si>
    <t>BAVM 239 </t>
  </si>
  <si>
    <t>2457198.5271 </t>
  </si>
  <si>
    <t> 25.06.2015 00:39 </t>
  </si>
  <si>
    <t> 0.0597 </t>
  </si>
  <si>
    <t>BAVM 241 (=IBVS 6157) </t>
  </si>
  <si>
    <t>My time zone &gt;&gt;&gt;&gt;&gt;</t>
  </si>
  <si>
    <t>(PST=8, PDT=MDT=7, MDT=CST=6, etc.)</t>
  </si>
  <si>
    <t>BAD?</t>
  </si>
  <si>
    <t>s5</t>
  </si>
  <si>
    <t>s6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</si>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</sst>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5" fillId="0" borderId="5" xfId="0" applyFont="1" applyBorder="1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5" fillId="24" borderId="21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4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V0541 Cyg - O-C Diagr.</a:t>
            </a:r>
          </a:p>
        </c:rich>
      </c:tx>
      <c:layout>
        <c:manualLayout>
          <c:xMode val="edge"/>
          <c:yMode val="edge"/>
          <c:x val="0.375527869142939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4362218654155"/>
          <c:y val="0.14723926380368099"/>
          <c:w val="0.84107007223276009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31-4661-812D-9174CDB39BF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  <c:pt idx="70">
                    <c:v>2E-3</c:v>
                  </c:pt>
                  <c:pt idx="71">
                    <c:v>2.5999999999999999E-3</c:v>
                  </c:pt>
                  <c:pt idx="72">
                    <c:v>4.7999999999999996E-3</c:v>
                  </c:pt>
                  <c:pt idx="73">
                    <c:v>6.9999999999999999E-4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  <c:pt idx="70">
                    <c:v>2E-3</c:v>
                  </c:pt>
                  <c:pt idx="71">
                    <c:v>2.5999999999999999E-3</c:v>
                  </c:pt>
                  <c:pt idx="72">
                    <c:v>4.7999999999999996E-3</c:v>
                  </c:pt>
                  <c:pt idx="73">
                    <c:v>6.9999999999999999E-4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0">
                  <c:v>-0.26076999999713735</c:v>
                </c:pt>
                <c:pt idx="1">
                  <c:v>-7.9579999997804407E-2</c:v>
                </c:pt>
                <c:pt idx="2">
                  <c:v>-4.7099999974307138E-3</c:v>
                </c:pt>
                <c:pt idx="3">
                  <c:v>-0.79139500000019325</c:v>
                </c:pt>
                <c:pt idx="4">
                  <c:v>-0.8449849999997241</c:v>
                </c:pt>
                <c:pt idx="6">
                  <c:v>-0.14631000000008498</c:v>
                </c:pt>
                <c:pt idx="7">
                  <c:v>-5.8629999999538995E-2</c:v>
                </c:pt>
                <c:pt idx="8">
                  <c:v>8.4520000000338769E-2</c:v>
                </c:pt>
                <c:pt idx="9">
                  <c:v>-0.15939999999682186</c:v>
                </c:pt>
                <c:pt idx="10">
                  <c:v>-0.76724499999909312</c:v>
                </c:pt>
                <c:pt idx="11">
                  <c:v>-1.4479999998002313E-2</c:v>
                </c:pt>
                <c:pt idx="12">
                  <c:v>-0.78033499999946798</c:v>
                </c:pt>
                <c:pt idx="14">
                  <c:v>7.5470000003406312E-2</c:v>
                </c:pt>
                <c:pt idx="15">
                  <c:v>-0.77679499999794643</c:v>
                </c:pt>
                <c:pt idx="16">
                  <c:v>-0.75458499999513151</c:v>
                </c:pt>
                <c:pt idx="17">
                  <c:v>-0.20148999999946682</c:v>
                </c:pt>
                <c:pt idx="18">
                  <c:v>3.6189999998896383E-2</c:v>
                </c:pt>
                <c:pt idx="19">
                  <c:v>-0.76607499999954598</c:v>
                </c:pt>
                <c:pt idx="20">
                  <c:v>-0.73966500000096858</c:v>
                </c:pt>
                <c:pt idx="21">
                  <c:v>-0.75662500000180444</c:v>
                </c:pt>
                <c:pt idx="22">
                  <c:v>-5.3280000000086147E-2</c:v>
                </c:pt>
                <c:pt idx="23">
                  <c:v>-0.70856500000081724</c:v>
                </c:pt>
                <c:pt idx="24">
                  <c:v>-6.5210000000661239E-2</c:v>
                </c:pt>
                <c:pt idx="25">
                  <c:v>-0.72426499999710359</c:v>
                </c:pt>
                <c:pt idx="26">
                  <c:v>-4.8589999998512212E-2</c:v>
                </c:pt>
                <c:pt idx="27">
                  <c:v>-0.7374850000051083</c:v>
                </c:pt>
                <c:pt idx="28">
                  <c:v>4.446000000461936E-2</c:v>
                </c:pt>
                <c:pt idx="29">
                  <c:v>-7.0909999994910322E-2</c:v>
                </c:pt>
                <c:pt idx="30">
                  <c:v>-0.73565500000404427</c:v>
                </c:pt>
                <c:pt idx="31">
                  <c:v>4.387000000133412E-2</c:v>
                </c:pt>
                <c:pt idx="32">
                  <c:v>-6.1500000003434252E-2</c:v>
                </c:pt>
                <c:pt idx="33">
                  <c:v>-0.74976499999320367</c:v>
                </c:pt>
                <c:pt idx="34">
                  <c:v>-0.14504999999917345</c:v>
                </c:pt>
                <c:pt idx="35">
                  <c:v>7.3370000005525071E-2</c:v>
                </c:pt>
                <c:pt idx="36">
                  <c:v>-0.15554999999585561</c:v>
                </c:pt>
                <c:pt idx="37">
                  <c:v>0.16864999999961583</c:v>
                </c:pt>
                <c:pt idx="38">
                  <c:v>0</c:v>
                </c:pt>
                <c:pt idx="40">
                  <c:v>-0.47561999999743421</c:v>
                </c:pt>
                <c:pt idx="43">
                  <c:v>5.380000002332963E-3</c:v>
                </c:pt>
                <c:pt idx="44">
                  <c:v>-0.63386500000342494</c:v>
                </c:pt>
                <c:pt idx="45">
                  <c:v>1.5180000002146699E-2</c:v>
                </c:pt>
                <c:pt idx="48">
                  <c:v>1.8850000000384171E-2</c:v>
                </c:pt>
                <c:pt idx="55">
                  <c:v>2.8129999998782296E-2</c:v>
                </c:pt>
                <c:pt idx="57">
                  <c:v>-0.62356500000169035</c:v>
                </c:pt>
                <c:pt idx="58">
                  <c:v>2.7060000000346918E-2</c:v>
                </c:pt>
                <c:pt idx="59">
                  <c:v>2.9040000001259614E-2</c:v>
                </c:pt>
                <c:pt idx="64">
                  <c:v>5.9440000004542526E-2</c:v>
                </c:pt>
                <c:pt idx="66">
                  <c:v>5.2580000003217719E-2</c:v>
                </c:pt>
                <c:pt idx="68">
                  <c:v>-0.58618499999283813</c:v>
                </c:pt>
                <c:pt idx="69">
                  <c:v>6.3920000000507571E-2</c:v>
                </c:pt>
                <c:pt idx="70">
                  <c:v>-0.5751449999952456</c:v>
                </c:pt>
                <c:pt idx="71">
                  <c:v>5.9730000000854488E-2</c:v>
                </c:pt>
                <c:pt idx="72">
                  <c:v>6.339999999909196E-2</c:v>
                </c:pt>
                <c:pt idx="73">
                  <c:v>-0.57089499999710824</c:v>
                </c:pt>
                <c:pt idx="74">
                  <c:v>-0.56215499999962049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31-4661-812D-9174CDB39B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41">
                  <c:v>-9.3000000051688403E-3</c:v>
                </c:pt>
                <c:pt idx="42">
                  <c:v>-0.67169499999727122</c:v>
                </c:pt>
                <c:pt idx="46">
                  <c:v>-0.63960499999666354</c:v>
                </c:pt>
                <c:pt idx="47">
                  <c:v>-0.63880500000232132</c:v>
                </c:pt>
                <c:pt idx="49">
                  <c:v>-0.63343499999609776</c:v>
                </c:pt>
                <c:pt idx="50">
                  <c:v>-0.63372499999968568</c:v>
                </c:pt>
                <c:pt idx="51">
                  <c:v>-0.63270499999634922</c:v>
                </c:pt>
                <c:pt idx="52">
                  <c:v>-0.63270499999634922</c:v>
                </c:pt>
                <c:pt idx="53">
                  <c:v>-0.63010499999654712</c:v>
                </c:pt>
                <c:pt idx="54">
                  <c:v>-0.62640499999542953</c:v>
                </c:pt>
                <c:pt idx="56">
                  <c:v>2.8729999998176936E-2</c:v>
                </c:pt>
                <c:pt idx="60">
                  <c:v>4.2170000000623986E-2</c:v>
                </c:pt>
                <c:pt idx="61">
                  <c:v>-0.60539499999867985</c:v>
                </c:pt>
                <c:pt idx="62">
                  <c:v>-0.59570499999972526</c:v>
                </c:pt>
                <c:pt idx="63">
                  <c:v>-0.59550499999750173</c:v>
                </c:pt>
                <c:pt idx="65">
                  <c:v>5.1659999997355044E-2</c:v>
                </c:pt>
                <c:pt idx="67">
                  <c:v>5.2790000001550652E-2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31-4661-812D-9174CDB39B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31-4661-812D-9174CDB39BF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31-4661-812D-9174CDB39BF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31-4661-812D-9174CDB39BF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plus>
            <c:minus>
              <c:numRef>
                <c:f>'Active 1'!$D$21:$D$90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31-4661-812D-9174CDB39BF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-5.0651327423100911E-2</c:v>
                </c:pt>
                <c:pt idx="1">
                  <c:v>-4.6463857966378828E-2</c:v>
                </c:pt>
                <c:pt idx="2">
                  <c:v>-4.532182084181826E-2</c:v>
                </c:pt>
                <c:pt idx="3">
                  <c:v>-4.5310167401771718E-2</c:v>
                </c:pt>
                <c:pt idx="4">
                  <c:v>-4.5147019241120211E-2</c:v>
                </c:pt>
                <c:pt idx="5">
                  <c:v>-4.513148132105816E-2</c:v>
                </c:pt>
                <c:pt idx="6">
                  <c:v>-4.5011062440577287E-2</c:v>
                </c:pt>
                <c:pt idx="7">
                  <c:v>-4.4948910760329093E-2</c:v>
                </c:pt>
                <c:pt idx="8">
                  <c:v>-4.4832376359863729E-2</c:v>
                </c:pt>
                <c:pt idx="9">
                  <c:v>-4.4459466278374563E-2</c:v>
                </c:pt>
                <c:pt idx="10">
                  <c:v>-4.4416736998203928E-2</c:v>
                </c:pt>
                <c:pt idx="11">
                  <c:v>-4.4055480356761302E-2</c:v>
                </c:pt>
                <c:pt idx="12">
                  <c:v>-4.386514083600121E-2</c:v>
                </c:pt>
                <c:pt idx="13">
                  <c:v>-4.3647609955132526E-2</c:v>
                </c:pt>
                <c:pt idx="14">
                  <c:v>-4.3317429153813994E-2</c:v>
                </c:pt>
                <c:pt idx="15">
                  <c:v>-4.3290237793705409E-2</c:v>
                </c:pt>
                <c:pt idx="16">
                  <c:v>-4.3282468833674384E-2</c:v>
                </c:pt>
                <c:pt idx="17">
                  <c:v>-4.313097411306941E-2</c:v>
                </c:pt>
                <c:pt idx="18">
                  <c:v>-4.3068822432821216E-2</c:v>
                </c:pt>
                <c:pt idx="19">
                  <c:v>-4.3041631072712631E-2</c:v>
                </c:pt>
                <c:pt idx="20">
                  <c:v>-4.2878482912061124E-2</c:v>
                </c:pt>
                <c:pt idx="21">
                  <c:v>-4.269202787131654E-2</c:v>
                </c:pt>
                <c:pt idx="22">
                  <c:v>-4.2346309149935958E-2</c:v>
                </c:pt>
                <c:pt idx="23">
                  <c:v>-4.2023897308648452E-2</c:v>
                </c:pt>
                <c:pt idx="24">
                  <c:v>-4.1825788827857334E-2</c:v>
                </c:pt>
                <c:pt idx="25">
                  <c:v>-4.1790828507717724E-2</c:v>
                </c:pt>
                <c:pt idx="26">
                  <c:v>-4.1654871707174801E-2</c:v>
                </c:pt>
                <c:pt idx="27">
                  <c:v>-4.1650987227159285E-2</c:v>
                </c:pt>
                <c:pt idx="28">
                  <c:v>-4.1616026907019682E-2</c:v>
                </c:pt>
                <c:pt idx="29">
                  <c:v>-4.1592720026926606E-2</c:v>
                </c:pt>
                <c:pt idx="30">
                  <c:v>-4.1472301146445727E-2</c:v>
                </c:pt>
                <c:pt idx="31">
                  <c:v>-4.1452878746368167E-2</c:v>
                </c:pt>
                <c:pt idx="32">
                  <c:v>-4.1429571866275099E-2</c:v>
                </c:pt>
                <c:pt idx="33">
                  <c:v>-4.1402380506166514E-2</c:v>
                </c:pt>
                <c:pt idx="34">
                  <c:v>-4.1079968664879007E-2</c:v>
                </c:pt>
                <c:pt idx="35">
                  <c:v>-4.1064430744816957E-2</c:v>
                </c:pt>
                <c:pt idx="36">
                  <c:v>-4.069152066332779E-2</c:v>
                </c:pt>
                <c:pt idx="37">
                  <c:v>-4.0536141462707308E-2</c:v>
                </c:pt>
                <c:pt idx="38">
                  <c:v>-3.7933539852314173E-2</c:v>
                </c:pt>
                <c:pt idx="39">
                  <c:v>-3.7933539852314173E-2</c:v>
                </c:pt>
                <c:pt idx="40">
                  <c:v>-3.7327560969894279E-2</c:v>
                </c:pt>
                <c:pt idx="41">
                  <c:v>-3.7156643849211746E-2</c:v>
                </c:pt>
                <c:pt idx="42">
                  <c:v>-3.7152759369196237E-2</c:v>
                </c:pt>
                <c:pt idx="43">
                  <c:v>-3.6084527364930397E-2</c:v>
                </c:pt>
                <c:pt idx="44">
                  <c:v>-3.5264902081657334E-2</c:v>
                </c:pt>
                <c:pt idx="45">
                  <c:v>-3.515225216120748E-2</c:v>
                </c:pt>
                <c:pt idx="46">
                  <c:v>-3.4985219520540463E-2</c:v>
                </c:pt>
                <c:pt idx="47">
                  <c:v>-3.4985219520540463E-2</c:v>
                </c:pt>
                <c:pt idx="48">
                  <c:v>-3.4787111039749338E-2</c:v>
                </c:pt>
                <c:pt idx="49">
                  <c:v>-3.4620078399082321E-2</c:v>
                </c:pt>
                <c:pt idx="50">
                  <c:v>-3.4612309439051296E-2</c:v>
                </c:pt>
                <c:pt idx="51">
                  <c:v>-3.4596771518989246E-2</c:v>
                </c:pt>
                <c:pt idx="52">
                  <c:v>-3.4596771518989246E-2</c:v>
                </c:pt>
                <c:pt idx="53">
                  <c:v>-3.4596771518989246E-2</c:v>
                </c:pt>
                <c:pt idx="54">
                  <c:v>-3.4596771518989246E-2</c:v>
                </c:pt>
                <c:pt idx="55">
                  <c:v>-3.4414200958260178E-2</c:v>
                </c:pt>
                <c:pt idx="56">
                  <c:v>-3.4414200958260178E-2</c:v>
                </c:pt>
                <c:pt idx="57">
                  <c:v>-3.4021868476693452E-2</c:v>
                </c:pt>
                <c:pt idx="58">
                  <c:v>-3.4002446076615893E-2</c:v>
                </c:pt>
                <c:pt idx="59">
                  <c:v>-3.3862604796057454E-2</c:v>
                </c:pt>
                <c:pt idx="60">
                  <c:v>-3.2751643511620979E-2</c:v>
                </c:pt>
                <c:pt idx="61">
                  <c:v>-3.2615686711078055E-2</c:v>
                </c:pt>
                <c:pt idx="62">
                  <c:v>-3.220393182943377E-2</c:v>
                </c:pt>
                <c:pt idx="63">
                  <c:v>-3.220393182943377E-2</c:v>
                </c:pt>
                <c:pt idx="64">
                  <c:v>-3.1998054388611627E-2</c:v>
                </c:pt>
                <c:pt idx="65">
                  <c:v>-3.1656220147246561E-2</c:v>
                </c:pt>
                <c:pt idx="66">
                  <c:v>-3.1656220147246561E-2</c:v>
                </c:pt>
                <c:pt idx="67">
                  <c:v>-3.1656220147246561E-2</c:v>
                </c:pt>
                <c:pt idx="68">
                  <c:v>-3.1629028787137976E-2</c:v>
                </c:pt>
                <c:pt idx="69">
                  <c:v>-3.1081317104950764E-2</c:v>
                </c:pt>
                <c:pt idx="70">
                  <c:v>-3.1054125744842176E-2</c:v>
                </c:pt>
                <c:pt idx="71">
                  <c:v>-3.0918168944299253E-2</c:v>
                </c:pt>
                <c:pt idx="72">
                  <c:v>-3.0553027822841111E-2</c:v>
                </c:pt>
                <c:pt idx="73">
                  <c:v>-3.0549143342825602E-2</c:v>
                </c:pt>
                <c:pt idx="74">
                  <c:v>-2.9974240300529802E-2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31-4661-812D-9174CDB39BF4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1'!$P$21:$P$989</c:f>
              <c:numCache>
                <c:formatCode>General</c:formatCode>
                <c:ptCount val="969"/>
                <c:pt idx="0">
                  <c:v>-0.87798378697467139</c:v>
                </c:pt>
                <c:pt idx="1">
                  <c:v>-0.81350777305229016</c:v>
                </c:pt>
                <c:pt idx="2">
                  <c:v>-0.7959234056189135</c:v>
                </c:pt>
                <c:pt idx="3">
                  <c:v>-0.79574397329816471</c:v>
                </c:pt>
                <c:pt idx="4">
                  <c:v>-0.79323192080768234</c:v>
                </c:pt>
                <c:pt idx="5">
                  <c:v>-0.79299267771335069</c:v>
                </c:pt>
                <c:pt idx="6">
                  <c:v>-0.79113854373228032</c:v>
                </c:pt>
                <c:pt idx="7">
                  <c:v>-0.7901815713549537</c:v>
                </c:pt>
                <c:pt idx="8">
                  <c:v>-0.7883872481474663</c:v>
                </c:pt>
                <c:pt idx="9">
                  <c:v>-0.78264541388350661</c:v>
                </c:pt>
                <c:pt idx="10">
                  <c:v>-0.78198749537409451</c:v>
                </c:pt>
                <c:pt idx="11">
                  <c:v>-0.77642509343088351</c:v>
                </c:pt>
                <c:pt idx="12">
                  <c:v>-0.77349436552532069</c:v>
                </c:pt>
                <c:pt idx="13">
                  <c:v>-0.77014496220467754</c:v>
                </c:pt>
                <c:pt idx="14">
                  <c:v>-0.76506104645012984</c:v>
                </c:pt>
                <c:pt idx="15">
                  <c:v>-0.76464237103504951</c:v>
                </c:pt>
                <c:pt idx="16">
                  <c:v>-0.76452274948788368</c:v>
                </c:pt>
                <c:pt idx="17">
                  <c:v>-0.76219012931815</c:v>
                </c:pt>
                <c:pt idx="18">
                  <c:v>-0.76123315694082339</c:v>
                </c:pt>
                <c:pt idx="19">
                  <c:v>-0.76081448152574294</c:v>
                </c:pt>
                <c:pt idx="20">
                  <c:v>-0.75830242903526057</c:v>
                </c:pt>
                <c:pt idx="21">
                  <c:v>-0.75543151190328073</c:v>
                </c:pt>
                <c:pt idx="22">
                  <c:v>-0.75010835305440138</c:v>
                </c:pt>
                <c:pt idx="23">
                  <c:v>-0.74514405884701951</c:v>
                </c:pt>
                <c:pt idx="24">
                  <c:v>-0.74209370939429098</c:v>
                </c:pt>
                <c:pt idx="25">
                  <c:v>-0.7415554124320447</c:v>
                </c:pt>
                <c:pt idx="26">
                  <c:v>-0.73946203535664268</c:v>
                </c:pt>
                <c:pt idx="27">
                  <c:v>-0.73940222458305982</c:v>
                </c:pt>
                <c:pt idx="28">
                  <c:v>-0.73886392762081354</c:v>
                </c:pt>
                <c:pt idx="29">
                  <c:v>-0.73850506297931606</c:v>
                </c:pt>
                <c:pt idx="30">
                  <c:v>-0.7366509289982458</c:v>
                </c:pt>
                <c:pt idx="31">
                  <c:v>-0.73635187513033118</c:v>
                </c:pt>
                <c:pt idx="32">
                  <c:v>-0.7359930104888337</c:v>
                </c:pt>
                <c:pt idx="33">
                  <c:v>-0.73557433507375336</c:v>
                </c:pt>
                <c:pt idx="34">
                  <c:v>-0.73061004086637149</c:v>
                </c:pt>
                <c:pt idx="35">
                  <c:v>-0.73037079777203984</c:v>
                </c:pt>
                <c:pt idx="36">
                  <c:v>-0.72462896350808004</c:v>
                </c:pt>
                <c:pt idx="37">
                  <c:v>-0.7222365325647635</c:v>
                </c:pt>
                <c:pt idx="38">
                  <c:v>-0.68216331426421117</c:v>
                </c:pt>
                <c:pt idx="39">
                  <c:v>-0.68216331426421117</c:v>
                </c:pt>
                <c:pt idx="40">
                  <c:v>-0.67283283358527657</c:v>
                </c:pt>
                <c:pt idx="41">
                  <c:v>-0.67020115954762838</c:v>
                </c:pt>
                <c:pt idx="42">
                  <c:v>-0.67014134877404552</c:v>
                </c:pt>
                <c:pt idx="43">
                  <c:v>-0.65369338603874416</c:v>
                </c:pt>
                <c:pt idx="44">
                  <c:v>-0.64107331281274926</c:v>
                </c:pt>
                <c:pt idx="45">
                  <c:v>-0.63933880037884483</c:v>
                </c:pt>
                <c:pt idx="46">
                  <c:v>-0.6367669371147795</c:v>
                </c:pt>
                <c:pt idx="47">
                  <c:v>-0.6367669371147795</c:v>
                </c:pt>
                <c:pt idx="48">
                  <c:v>-0.63371658766205086</c:v>
                </c:pt>
                <c:pt idx="49">
                  <c:v>-0.63114472439798563</c:v>
                </c:pt>
                <c:pt idx="50">
                  <c:v>-0.63102510285081981</c:v>
                </c:pt>
                <c:pt idx="51">
                  <c:v>-0.63078585975648815</c:v>
                </c:pt>
                <c:pt idx="52">
                  <c:v>-0.63078585975648815</c:v>
                </c:pt>
                <c:pt idx="53">
                  <c:v>-0.63078585975648815</c:v>
                </c:pt>
                <c:pt idx="54">
                  <c:v>-0.63078585975648815</c:v>
                </c:pt>
                <c:pt idx="55">
                  <c:v>-0.62797475339809117</c:v>
                </c:pt>
                <c:pt idx="56">
                  <c:v>-0.62797475339809117</c:v>
                </c:pt>
                <c:pt idx="57">
                  <c:v>-0.62193386526621686</c:v>
                </c:pt>
                <c:pt idx="58">
                  <c:v>-0.62163481139830223</c:v>
                </c:pt>
                <c:pt idx="59">
                  <c:v>-0.61948162354931735</c:v>
                </c:pt>
                <c:pt idx="60">
                  <c:v>-0.602375742304604</c:v>
                </c:pt>
                <c:pt idx="61">
                  <c:v>-0.60028236522920198</c:v>
                </c:pt>
                <c:pt idx="62">
                  <c:v>-0.59394242322941315</c:v>
                </c:pt>
                <c:pt idx="63">
                  <c:v>-0.59394242322941315</c:v>
                </c:pt>
                <c:pt idx="64">
                  <c:v>-0.59077245222951869</c:v>
                </c:pt>
                <c:pt idx="65">
                  <c:v>-0.5855091041542223</c:v>
                </c:pt>
                <c:pt idx="66">
                  <c:v>-0.5855091041542223</c:v>
                </c:pt>
                <c:pt idx="67">
                  <c:v>-0.5855091041542223</c:v>
                </c:pt>
                <c:pt idx="68">
                  <c:v>-0.58509042873914185</c:v>
                </c:pt>
                <c:pt idx="69">
                  <c:v>-0.57665710966395101</c:v>
                </c:pt>
                <c:pt idx="70">
                  <c:v>-0.57623843424887067</c:v>
                </c:pt>
                <c:pt idx="71">
                  <c:v>-0.57414505717346864</c:v>
                </c:pt>
                <c:pt idx="72">
                  <c:v>-0.56852284445667467</c:v>
                </c:pt>
                <c:pt idx="73">
                  <c:v>-0.56846303368309181</c:v>
                </c:pt>
                <c:pt idx="74">
                  <c:v>-0.55961103919282051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31-4661-812D-9174CDB39BF4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5">
                  <c:v>-3.6205649999974412</c:v>
                </c:pt>
                <c:pt idx="13">
                  <c:v>-3.2784549999996671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31-4661-812D-9174CDB39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722080"/>
        <c:axId val="1"/>
      </c:scatterChart>
      <c:valAx>
        <c:axId val="80272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101959828862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19971870604779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722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71182135988276"/>
          <c:y val="0.92024539877300615"/>
          <c:w val="0.781998220686549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V0541 Cyg - Primary O-C Diagr.</a:t>
            </a:r>
          </a:p>
        </c:rich>
      </c:tx>
      <c:layout>
        <c:manualLayout>
          <c:xMode val="edge"/>
          <c:yMode val="edge"/>
          <c:x val="0.251546391752577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678942920199375"/>
          <c:w val="0.77731958762886599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  <c:pt idx="70">
                    <c:v>2E-3</c:v>
                  </c:pt>
                  <c:pt idx="71">
                    <c:v>2.5999999999999999E-3</c:v>
                  </c:pt>
                  <c:pt idx="72">
                    <c:v>4.7999999999999996E-3</c:v>
                  </c:pt>
                  <c:pt idx="73">
                    <c:v>6.9999999999999999E-4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  <c:pt idx="70">
                    <c:v>2E-3</c:v>
                  </c:pt>
                  <c:pt idx="71">
                    <c:v>2.5999999999999999E-3</c:v>
                  </c:pt>
                  <c:pt idx="72">
                    <c:v>4.7999999999999996E-3</c:v>
                  </c:pt>
                  <c:pt idx="73">
                    <c:v>6.9999999999999999E-4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1'!$R$21:$R$989</c:f>
              <c:numCache>
                <c:formatCode>General</c:formatCode>
                <c:ptCount val="969"/>
                <c:pt idx="0">
                  <c:v>-0.26076999999713735</c:v>
                </c:pt>
                <c:pt idx="1">
                  <c:v>-7.9579999997804407E-2</c:v>
                </c:pt>
                <c:pt idx="2">
                  <c:v>-4.7099999974307138E-3</c:v>
                </c:pt>
                <c:pt idx="6">
                  <c:v>-0.14631000000008498</c:v>
                </c:pt>
                <c:pt idx="7">
                  <c:v>-5.8629999999538995E-2</c:v>
                </c:pt>
                <c:pt idx="8">
                  <c:v>8.4520000000338769E-2</c:v>
                </c:pt>
                <c:pt idx="9">
                  <c:v>-0.15939999999682186</c:v>
                </c:pt>
                <c:pt idx="11">
                  <c:v>-1.4479999998002313E-2</c:v>
                </c:pt>
                <c:pt idx="14">
                  <c:v>7.5470000003406312E-2</c:v>
                </c:pt>
                <c:pt idx="17">
                  <c:v>-0.20148999999946682</c:v>
                </c:pt>
                <c:pt idx="18">
                  <c:v>3.6189999998896383E-2</c:v>
                </c:pt>
                <c:pt idx="22">
                  <c:v>-5.3280000000086147E-2</c:v>
                </c:pt>
                <c:pt idx="24">
                  <c:v>-6.5210000000661239E-2</c:v>
                </c:pt>
                <c:pt idx="26">
                  <c:v>-4.8589999998512212E-2</c:v>
                </c:pt>
                <c:pt idx="28">
                  <c:v>4.446000000461936E-2</c:v>
                </c:pt>
                <c:pt idx="29">
                  <c:v>-7.0909999994910322E-2</c:v>
                </c:pt>
                <c:pt idx="31">
                  <c:v>4.387000000133412E-2</c:v>
                </c:pt>
                <c:pt idx="32">
                  <c:v>-6.1500000003434252E-2</c:v>
                </c:pt>
                <c:pt idx="34">
                  <c:v>-0.14504999999917345</c:v>
                </c:pt>
                <c:pt idx="35">
                  <c:v>7.3370000005525071E-2</c:v>
                </c:pt>
                <c:pt idx="36">
                  <c:v>-0.15554999999585561</c:v>
                </c:pt>
                <c:pt idx="37">
                  <c:v>0.16864999999961583</c:v>
                </c:pt>
                <c:pt idx="41">
                  <c:v>-9.3000000051688403E-3</c:v>
                </c:pt>
                <c:pt idx="43">
                  <c:v>5.380000002332963E-3</c:v>
                </c:pt>
                <c:pt idx="45">
                  <c:v>1.5180000002146699E-2</c:v>
                </c:pt>
                <c:pt idx="48">
                  <c:v>1.8850000000384171E-2</c:v>
                </c:pt>
                <c:pt idx="55">
                  <c:v>2.8129999998782296E-2</c:v>
                </c:pt>
                <c:pt idx="56">
                  <c:v>2.8729999998176936E-2</c:v>
                </c:pt>
                <c:pt idx="58">
                  <c:v>2.7060000000346918E-2</c:v>
                </c:pt>
                <c:pt idx="59">
                  <c:v>2.9040000001259614E-2</c:v>
                </c:pt>
                <c:pt idx="60">
                  <c:v>4.2170000000623986E-2</c:v>
                </c:pt>
                <c:pt idx="64">
                  <c:v>5.9440000004542526E-2</c:v>
                </c:pt>
                <c:pt idx="65">
                  <c:v>5.1659999997355044E-2</c:v>
                </c:pt>
                <c:pt idx="66">
                  <c:v>5.2580000003217719E-2</c:v>
                </c:pt>
                <c:pt idx="67">
                  <c:v>5.2790000001550652E-2</c:v>
                </c:pt>
                <c:pt idx="69">
                  <c:v>6.3920000000507571E-2</c:v>
                </c:pt>
                <c:pt idx="71">
                  <c:v>5.9730000000854488E-2</c:v>
                </c:pt>
                <c:pt idx="72">
                  <c:v>6.339999999909196E-2</c:v>
                </c:pt>
                <c:pt idx="73">
                  <c:v>-0.57089499999710824</c:v>
                </c:pt>
                <c:pt idx="74">
                  <c:v>-0.56215499999962049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81-424C-9BA8-DE3C35D062E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0">
                  <c:v>-5.0651327423100911E-2</c:v>
                </c:pt>
                <c:pt idx="1">
                  <c:v>-4.6463857966378828E-2</c:v>
                </c:pt>
                <c:pt idx="2">
                  <c:v>-4.532182084181826E-2</c:v>
                </c:pt>
                <c:pt idx="3">
                  <c:v>-4.5310167401771718E-2</c:v>
                </c:pt>
                <c:pt idx="4">
                  <c:v>-4.5147019241120211E-2</c:v>
                </c:pt>
                <c:pt idx="5">
                  <c:v>-4.513148132105816E-2</c:v>
                </c:pt>
                <c:pt idx="6">
                  <c:v>-4.5011062440577287E-2</c:v>
                </c:pt>
                <c:pt idx="7">
                  <c:v>-4.4948910760329093E-2</c:v>
                </c:pt>
                <c:pt idx="8">
                  <c:v>-4.4832376359863729E-2</c:v>
                </c:pt>
                <c:pt idx="9">
                  <c:v>-4.4459466278374563E-2</c:v>
                </c:pt>
                <c:pt idx="10">
                  <c:v>-4.4416736998203928E-2</c:v>
                </c:pt>
                <c:pt idx="11">
                  <c:v>-4.4055480356761302E-2</c:v>
                </c:pt>
                <c:pt idx="12">
                  <c:v>-4.386514083600121E-2</c:v>
                </c:pt>
                <c:pt idx="13">
                  <c:v>-4.3647609955132526E-2</c:v>
                </c:pt>
                <c:pt idx="14">
                  <c:v>-4.3317429153813994E-2</c:v>
                </c:pt>
                <c:pt idx="15">
                  <c:v>-4.3290237793705409E-2</c:v>
                </c:pt>
                <c:pt idx="16">
                  <c:v>-4.3282468833674384E-2</c:v>
                </c:pt>
                <c:pt idx="17">
                  <c:v>-4.313097411306941E-2</c:v>
                </c:pt>
                <c:pt idx="18">
                  <c:v>-4.3068822432821216E-2</c:v>
                </c:pt>
                <c:pt idx="19">
                  <c:v>-4.3041631072712631E-2</c:v>
                </c:pt>
                <c:pt idx="20">
                  <c:v>-4.2878482912061124E-2</c:v>
                </c:pt>
                <c:pt idx="21">
                  <c:v>-4.269202787131654E-2</c:v>
                </c:pt>
                <c:pt idx="22">
                  <c:v>-4.2346309149935958E-2</c:v>
                </c:pt>
                <c:pt idx="23">
                  <c:v>-4.2023897308648452E-2</c:v>
                </c:pt>
                <c:pt idx="24">
                  <c:v>-4.1825788827857334E-2</c:v>
                </c:pt>
                <c:pt idx="25">
                  <c:v>-4.1790828507717724E-2</c:v>
                </c:pt>
                <c:pt idx="26">
                  <c:v>-4.1654871707174801E-2</c:v>
                </c:pt>
                <c:pt idx="27">
                  <c:v>-4.1650987227159285E-2</c:v>
                </c:pt>
                <c:pt idx="28">
                  <c:v>-4.1616026907019682E-2</c:v>
                </c:pt>
                <c:pt idx="29">
                  <c:v>-4.1592720026926606E-2</c:v>
                </c:pt>
                <c:pt idx="30">
                  <c:v>-4.1472301146445727E-2</c:v>
                </c:pt>
                <c:pt idx="31">
                  <c:v>-4.1452878746368167E-2</c:v>
                </c:pt>
                <c:pt idx="32">
                  <c:v>-4.1429571866275099E-2</c:v>
                </c:pt>
                <c:pt idx="33">
                  <c:v>-4.1402380506166514E-2</c:v>
                </c:pt>
                <c:pt idx="34">
                  <c:v>-4.1079968664879007E-2</c:v>
                </c:pt>
                <c:pt idx="35">
                  <c:v>-4.1064430744816957E-2</c:v>
                </c:pt>
                <c:pt idx="36">
                  <c:v>-4.069152066332779E-2</c:v>
                </c:pt>
                <c:pt idx="37">
                  <c:v>-4.0536141462707308E-2</c:v>
                </c:pt>
                <c:pt idx="38">
                  <c:v>-3.7933539852314173E-2</c:v>
                </c:pt>
                <c:pt idx="39">
                  <c:v>-3.7933539852314173E-2</c:v>
                </c:pt>
                <c:pt idx="40">
                  <c:v>-3.7327560969894279E-2</c:v>
                </c:pt>
                <c:pt idx="41">
                  <c:v>-3.7156643849211746E-2</c:v>
                </c:pt>
                <c:pt idx="42">
                  <c:v>-3.7152759369196237E-2</c:v>
                </c:pt>
                <c:pt idx="43">
                  <c:v>-3.6084527364930397E-2</c:v>
                </c:pt>
                <c:pt idx="44">
                  <c:v>-3.5264902081657334E-2</c:v>
                </c:pt>
                <c:pt idx="45">
                  <c:v>-3.515225216120748E-2</c:v>
                </c:pt>
                <c:pt idx="46">
                  <c:v>-3.4985219520540463E-2</c:v>
                </c:pt>
                <c:pt idx="47">
                  <c:v>-3.4985219520540463E-2</c:v>
                </c:pt>
                <c:pt idx="48">
                  <c:v>-3.4787111039749338E-2</c:v>
                </c:pt>
                <c:pt idx="49">
                  <c:v>-3.4620078399082321E-2</c:v>
                </c:pt>
                <c:pt idx="50">
                  <c:v>-3.4612309439051296E-2</c:v>
                </c:pt>
                <c:pt idx="51">
                  <c:v>-3.4596771518989246E-2</c:v>
                </c:pt>
                <c:pt idx="52">
                  <c:v>-3.4596771518989246E-2</c:v>
                </c:pt>
                <c:pt idx="53">
                  <c:v>-3.4596771518989246E-2</c:v>
                </c:pt>
                <c:pt idx="54">
                  <c:v>-3.4596771518989246E-2</c:v>
                </c:pt>
                <c:pt idx="55">
                  <c:v>-3.4414200958260178E-2</c:v>
                </c:pt>
                <c:pt idx="56">
                  <c:v>-3.4414200958260178E-2</c:v>
                </c:pt>
                <c:pt idx="57">
                  <c:v>-3.4021868476693452E-2</c:v>
                </c:pt>
                <c:pt idx="58">
                  <c:v>-3.4002446076615893E-2</c:v>
                </c:pt>
                <c:pt idx="59">
                  <c:v>-3.3862604796057454E-2</c:v>
                </c:pt>
                <c:pt idx="60">
                  <c:v>-3.2751643511620979E-2</c:v>
                </c:pt>
                <c:pt idx="61">
                  <c:v>-3.2615686711078055E-2</c:v>
                </c:pt>
                <c:pt idx="62">
                  <c:v>-3.220393182943377E-2</c:v>
                </c:pt>
                <c:pt idx="63">
                  <c:v>-3.220393182943377E-2</c:v>
                </c:pt>
                <c:pt idx="64">
                  <c:v>-3.1998054388611627E-2</c:v>
                </c:pt>
                <c:pt idx="65">
                  <c:v>-3.1656220147246561E-2</c:v>
                </c:pt>
                <c:pt idx="66">
                  <c:v>-3.1656220147246561E-2</c:v>
                </c:pt>
                <c:pt idx="67">
                  <c:v>-3.1656220147246561E-2</c:v>
                </c:pt>
                <c:pt idx="68">
                  <c:v>-3.1629028787137976E-2</c:v>
                </c:pt>
                <c:pt idx="69">
                  <c:v>-3.1081317104950764E-2</c:v>
                </c:pt>
                <c:pt idx="70">
                  <c:v>-3.1054125744842176E-2</c:v>
                </c:pt>
                <c:pt idx="71">
                  <c:v>-3.0918168944299253E-2</c:v>
                </c:pt>
                <c:pt idx="72">
                  <c:v>-3.0553027822841111E-2</c:v>
                </c:pt>
                <c:pt idx="73">
                  <c:v>-3.0549143342825602E-2</c:v>
                </c:pt>
                <c:pt idx="74">
                  <c:v>-2.9974240300529802E-2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81-424C-9BA8-DE3C35D062E9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5">
                  <c:v>-3.6205649999974412</c:v>
                </c:pt>
                <c:pt idx="13">
                  <c:v>-3.2784549999996671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81-424C-9BA8-DE3C35D06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37376"/>
        <c:axId val="1"/>
      </c:scatterChart>
      <c:valAx>
        <c:axId val="76643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37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226804123711341"/>
          <c:y val="0.9204921861831491"/>
          <c:w val="0.4247422680412370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V0541 Cyg - Secondary O-C Diagr.</a:t>
            </a:r>
          </a:p>
        </c:rich>
      </c:tx>
      <c:layout>
        <c:manualLayout>
          <c:xMode val="edge"/>
          <c:yMode val="edge"/>
          <c:x val="0.2263378806044306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9414965548975"/>
          <c:y val="0.14634168126798494"/>
          <c:w val="0.77777934063814269"/>
          <c:h val="0.631098500468185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  <c:pt idx="70">
                    <c:v>2E-3</c:v>
                  </c:pt>
                  <c:pt idx="71">
                    <c:v>2.5999999999999999E-3</c:v>
                  </c:pt>
                  <c:pt idx="72">
                    <c:v>4.7999999999999996E-3</c:v>
                  </c:pt>
                  <c:pt idx="73">
                    <c:v>6.9999999999999999E-4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3.0000000000000001E-3</c:v>
                  </c:pt>
                  <c:pt idx="52">
                    <c:v>5.9999999999999995E-4</c:v>
                  </c:pt>
                  <c:pt idx="53">
                    <c:v>0</c:v>
                  </c:pt>
                  <c:pt idx="54">
                    <c:v>1.1999999999999999E-3</c:v>
                  </c:pt>
                  <c:pt idx="55">
                    <c:v>1.8E-3</c:v>
                  </c:pt>
                  <c:pt idx="56">
                    <c:v>1.8E-3</c:v>
                  </c:pt>
                  <c:pt idx="59">
                    <c:v>6.9999999999999999E-4</c:v>
                  </c:pt>
                  <c:pt idx="60">
                    <c:v>1E-4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6.9999999999999999E-4</c:v>
                  </c:pt>
                  <c:pt idx="66">
                    <c:v>6.4000000000000003E-3</c:v>
                  </c:pt>
                  <c:pt idx="67">
                    <c:v>1E-3</c:v>
                  </c:pt>
                  <c:pt idx="68">
                    <c:v>0</c:v>
                  </c:pt>
                  <c:pt idx="69">
                    <c:v>2.5999999999999999E-3</c:v>
                  </c:pt>
                  <c:pt idx="70">
                    <c:v>2E-3</c:v>
                  </c:pt>
                  <c:pt idx="71">
                    <c:v>2.5999999999999999E-3</c:v>
                  </c:pt>
                  <c:pt idx="72">
                    <c:v>4.7999999999999996E-3</c:v>
                  </c:pt>
                  <c:pt idx="73">
                    <c:v>6.9999999999999999E-4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1'!$S$21:$S$989</c:f>
              <c:numCache>
                <c:formatCode>General</c:formatCode>
                <c:ptCount val="969"/>
                <c:pt idx="3">
                  <c:v>-0.79139500000019325</c:v>
                </c:pt>
                <c:pt idx="4">
                  <c:v>-0.8449849999997241</c:v>
                </c:pt>
                <c:pt idx="10">
                  <c:v>-0.76724499999909312</c:v>
                </c:pt>
                <c:pt idx="12">
                  <c:v>-0.78033499999946798</c:v>
                </c:pt>
                <c:pt idx="15">
                  <c:v>-0.77679499999794643</c:v>
                </c:pt>
                <c:pt idx="16">
                  <c:v>-0.75458499999513151</c:v>
                </c:pt>
                <c:pt idx="19">
                  <c:v>-0.76607499999954598</c:v>
                </c:pt>
                <c:pt idx="20">
                  <c:v>-0.73966500000096858</c:v>
                </c:pt>
                <c:pt idx="21">
                  <c:v>-0.75662500000180444</c:v>
                </c:pt>
                <c:pt idx="23">
                  <c:v>-0.70856500000081724</c:v>
                </c:pt>
                <c:pt idx="25">
                  <c:v>-0.72426499999710359</c:v>
                </c:pt>
                <c:pt idx="27">
                  <c:v>-0.7374850000051083</c:v>
                </c:pt>
                <c:pt idx="30">
                  <c:v>-0.73565500000404427</c:v>
                </c:pt>
                <c:pt idx="33">
                  <c:v>-0.74976499999320367</c:v>
                </c:pt>
                <c:pt idx="42">
                  <c:v>-0.67169499999727122</c:v>
                </c:pt>
                <c:pt idx="44">
                  <c:v>-0.63386500000342494</c:v>
                </c:pt>
                <c:pt idx="46">
                  <c:v>-0.63960499999666354</c:v>
                </c:pt>
                <c:pt idx="47">
                  <c:v>-0.63880500000232132</c:v>
                </c:pt>
                <c:pt idx="49">
                  <c:v>-0.63343499999609776</c:v>
                </c:pt>
                <c:pt idx="50">
                  <c:v>-0.63372499999968568</c:v>
                </c:pt>
                <c:pt idx="51">
                  <c:v>-0.63270499999634922</c:v>
                </c:pt>
                <c:pt idx="52">
                  <c:v>-0.63270499999634922</c:v>
                </c:pt>
                <c:pt idx="53">
                  <c:v>-0.63010499999654712</c:v>
                </c:pt>
                <c:pt idx="54">
                  <c:v>-0.62640499999542953</c:v>
                </c:pt>
                <c:pt idx="57">
                  <c:v>-0.62356500000169035</c:v>
                </c:pt>
                <c:pt idx="61">
                  <c:v>-0.60539499999867985</c:v>
                </c:pt>
                <c:pt idx="62">
                  <c:v>-0.59570499999972526</c:v>
                </c:pt>
                <c:pt idx="63">
                  <c:v>-0.59550499999750173</c:v>
                </c:pt>
                <c:pt idx="68">
                  <c:v>-0.58618499999283813</c:v>
                </c:pt>
                <c:pt idx="70">
                  <c:v>-0.5751449999952456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1-4AF0-8A4A-58A2FCFF9B7F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1'!$P$21:$P$989</c:f>
              <c:numCache>
                <c:formatCode>General</c:formatCode>
                <c:ptCount val="969"/>
                <c:pt idx="0">
                  <c:v>-0.87798378697467139</c:v>
                </c:pt>
                <c:pt idx="1">
                  <c:v>-0.81350777305229016</c:v>
                </c:pt>
                <c:pt idx="2">
                  <c:v>-0.7959234056189135</c:v>
                </c:pt>
                <c:pt idx="3">
                  <c:v>-0.79574397329816471</c:v>
                </c:pt>
                <c:pt idx="4">
                  <c:v>-0.79323192080768234</c:v>
                </c:pt>
                <c:pt idx="5">
                  <c:v>-0.79299267771335069</c:v>
                </c:pt>
                <c:pt idx="6">
                  <c:v>-0.79113854373228032</c:v>
                </c:pt>
                <c:pt idx="7">
                  <c:v>-0.7901815713549537</c:v>
                </c:pt>
                <c:pt idx="8">
                  <c:v>-0.7883872481474663</c:v>
                </c:pt>
                <c:pt idx="9">
                  <c:v>-0.78264541388350661</c:v>
                </c:pt>
                <c:pt idx="10">
                  <c:v>-0.78198749537409451</c:v>
                </c:pt>
                <c:pt idx="11">
                  <c:v>-0.77642509343088351</c:v>
                </c:pt>
                <c:pt idx="12">
                  <c:v>-0.77349436552532069</c:v>
                </c:pt>
                <c:pt idx="13">
                  <c:v>-0.77014496220467754</c:v>
                </c:pt>
                <c:pt idx="14">
                  <c:v>-0.76506104645012984</c:v>
                </c:pt>
                <c:pt idx="15">
                  <c:v>-0.76464237103504951</c:v>
                </c:pt>
                <c:pt idx="16">
                  <c:v>-0.76452274948788368</c:v>
                </c:pt>
                <c:pt idx="17">
                  <c:v>-0.76219012931815</c:v>
                </c:pt>
                <c:pt idx="18">
                  <c:v>-0.76123315694082339</c:v>
                </c:pt>
                <c:pt idx="19">
                  <c:v>-0.76081448152574294</c:v>
                </c:pt>
                <c:pt idx="20">
                  <c:v>-0.75830242903526057</c:v>
                </c:pt>
                <c:pt idx="21">
                  <c:v>-0.75543151190328073</c:v>
                </c:pt>
                <c:pt idx="22">
                  <c:v>-0.75010835305440138</c:v>
                </c:pt>
                <c:pt idx="23">
                  <c:v>-0.74514405884701951</c:v>
                </c:pt>
                <c:pt idx="24">
                  <c:v>-0.74209370939429098</c:v>
                </c:pt>
                <c:pt idx="25">
                  <c:v>-0.7415554124320447</c:v>
                </c:pt>
                <c:pt idx="26">
                  <c:v>-0.73946203535664268</c:v>
                </c:pt>
                <c:pt idx="27">
                  <c:v>-0.73940222458305982</c:v>
                </c:pt>
                <c:pt idx="28">
                  <c:v>-0.73886392762081354</c:v>
                </c:pt>
                <c:pt idx="29">
                  <c:v>-0.73850506297931606</c:v>
                </c:pt>
                <c:pt idx="30">
                  <c:v>-0.7366509289982458</c:v>
                </c:pt>
                <c:pt idx="31">
                  <c:v>-0.73635187513033118</c:v>
                </c:pt>
                <c:pt idx="32">
                  <c:v>-0.7359930104888337</c:v>
                </c:pt>
                <c:pt idx="33">
                  <c:v>-0.73557433507375336</c:v>
                </c:pt>
                <c:pt idx="34">
                  <c:v>-0.73061004086637149</c:v>
                </c:pt>
                <c:pt idx="35">
                  <c:v>-0.73037079777203984</c:v>
                </c:pt>
                <c:pt idx="36">
                  <c:v>-0.72462896350808004</c:v>
                </c:pt>
                <c:pt idx="37">
                  <c:v>-0.7222365325647635</c:v>
                </c:pt>
                <c:pt idx="38">
                  <c:v>-0.68216331426421117</c:v>
                </c:pt>
                <c:pt idx="39">
                  <c:v>-0.68216331426421117</c:v>
                </c:pt>
                <c:pt idx="40">
                  <c:v>-0.67283283358527657</c:v>
                </c:pt>
                <c:pt idx="41">
                  <c:v>-0.67020115954762838</c:v>
                </c:pt>
                <c:pt idx="42">
                  <c:v>-0.67014134877404552</c:v>
                </c:pt>
                <c:pt idx="43">
                  <c:v>-0.65369338603874416</c:v>
                </c:pt>
                <c:pt idx="44">
                  <c:v>-0.64107331281274926</c:v>
                </c:pt>
                <c:pt idx="45">
                  <c:v>-0.63933880037884483</c:v>
                </c:pt>
                <c:pt idx="46">
                  <c:v>-0.6367669371147795</c:v>
                </c:pt>
                <c:pt idx="47">
                  <c:v>-0.6367669371147795</c:v>
                </c:pt>
                <c:pt idx="48">
                  <c:v>-0.63371658766205086</c:v>
                </c:pt>
                <c:pt idx="49">
                  <c:v>-0.63114472439798563</c:v>
                </c:pt>
                <c:pt idx="50">
                  <c:v>-0.63102510285081981</c:v>
                </c:pt>
                <c:pt idx="51">
                  <c:v>-0.63078585975648815</c:v>
                </c:pt>
                <c:pt idx="52">
                  <c:v>-0.63078585975648815</c:v>
                </c:pt>
                <c:pt idx="53">
                  <c:v>-0.63078585975648815</c:v>
                </c:pt>
                <c:pt idx="54">
                  <c:v>-0.63078585975648815</c:v>
                </c:pt>
                <c:pt idx="55">
                  <c:v>-0.62797475339809117</c:v>
                </c:pt>
                <c:pt idx="56">
                  <c:v>-0.62797475339809117</c:v>
                </c:pt>
                <c:pt idx="57">
                  <c:v>-0.62193386526621686</c:v>
                </c:pt>
                <c:pt idx="58">
                  <c:v>-0.62163481139830223</c:v>
                </c:pt>
                <c:pt idx="59">
                  <c:v>-0.61948162354931735</c:v>
                </c:pt>
                <c:pt idx="60">
                  <c:v>-0.602375742304604</c:v>
                </c:pt>
                <c:pt idx="61">
                  <c:v>-0.60028236522920198</c:v>
                </c:pt>
                <c:pt idx="62">
                  <c:v>-0.59394242322941315</c:v>
                </c:pt>
                <c:pt idx="63">
                  <c:v>-0.59394242322941315</c:v>
                </c:pt>
                <c:pt idx="64">
                  <c:v>-0.59077245222951869</c:v>
                </c:pt>
                <c:pt idx="65">
                  <c:v>-0.5855091041542223</c:v>
                </c:pt>
                <c:pt idx="66">
                  <c:v>-0.5855091041542223</c:v>
                </c:pt>
                <c:pt idx="67">
                  <c:v>-0.5855091041542223</c:v>
                </c:pt>
                <c:pt idx="68">
                  <c:v>-0.58509042873914185</c:v>
                </c:pt>
                <c:pt idx="69">
                  <c:v>-0.57665710966395101</c:v>
                </c:pt>
                <c:pt idx="70">
                  <c:v>-0.57623843424887067</c:v>
                </c:pt>
                <c:pt idx="71">
                  <c:v>-0.57414505717346864</c:v>
                </c:pt>
                <c:pt idx="72">
                  <c:v>-0.56852284445667467</c:v>
                </c:pt>
                <c:pt idx="73">
                  <c:v>-0.56846303368309181</c:v>
                </c:pt>
                <c:pt idx="74">
                  <c:v>-0.55961103919282051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1-4AF0-8A4A-58A2FCFF9B7F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-1637</c:v>
                </c:pt>
                <c:pt idx="1">
                  <c:v>-1098</c:v>
                </c:pt>
                <c:pt idx="2">
                  <c:v>-951</c:v>
                </c:pt>
                <c:pt idx="3">
                  <c:v>-949.5</c:v>
                </c:pt>
                <c:pt idx="4">
                  <c:v>-928.5</c:v>
                </c:pt>
                <c:pt idx="5">
                  <c:v>-926.5</c:v>
                </c:pt>
                <c:pt idx="6">
                  <c:v>-911</c:v>
                </c:pt>
                <c:pt idx="7">
                  <c:v>-903</c:v>
                </c:pt>
                <c:pt idx="8">
                  <c:v>-888</c:v>
                </c:pt>
                <c:pt idx="9">
                  <c:v>-840</c:v>
                </c:pt>
                <c:pt idx="10">
                  <c:v>-834.5</c:v>
                </c:pt>
                <c:pt idx="11">
                  <c:v>-788</c:v>
                </c:pt>
                <c:pt idx="12">
                  <c:v>-763.5</c:v>
                </c:pt>
                <c:pt idx="13">
                  <c:v>-735.5</c:v>
                </c:pt>
                <c:pt idx="14">
                  <c:v>-693</c:v>
                </c:pt>
                <c:pt idx="15">
                  <c:v>-689.5</c:v>
                </c:pt>
                <c:pt idx="16">
                  <c:v>-688.5</c:v>
                </c:pt>
                <c:pt idx="17">
                  <c:v>-669</c:v>
                </c:pt>
                <c:pt idx="18">
                  <c:v>-661</c:v>
                </c:pt>
                <c:pt idx="19">
                  <c:v>-657.5</c:v>
                </c:pt>
                <c:pt idx="20">
                  <c:v>-636.5</c:v>
                </c:pt>
                <c:pt idx="21">
                  <c:v>-612.5</c:v>
                </c:pt>
                <c:pt idx="22">
                  <c:v>-568</c:v>
                </c:pt>
                <c:pt idx="23">
                  <c:v>-526.5</c:v>
                </c:pt>
                <c:pt idx="24">
                  <c:v>-501</c:v>
                </c:pt>
                <c:pt idx="25">
                  <c:v>-496.5</c:v>
                </c:pt>
                <c:pt idx="26">
                  <c:v>-479</c:v>
                </c:pt>
                <c:pt idx="27">
                  <c:v>-478.5</c:v>
                </c:pt>
                <c:pt idx="28">
                  <c:v>-474</c:v>
                </c:pt>
                <c:pt idx="29">
                  <c:v>-471</c:v>
                </c:pt>
                <c:pt idx="30">
                  <c:v>-455.5</c:v>
                </c:pt>
                <c:pt idx="31">
                  <c:v>-453</c:v>
                </c:pt>
                <c:pt idx="32">
                  <c:v>-450</c:v>
                </c:pt>
                <c:pt idx="33">
                  <c:v>-446.5</c:v>
                </c:pt>
                <c:pt idx="34">
                  <c:v>-405</c:v>
                </c:pt>
                <c:pt idx="35">
                  <c:v>-403</c:v>
                </c:pt>
                <c:pt idx="36">
                  <c:v>-355</c:v>
                </c:pt>
                <c:pt idx="37">
                  <c:v>-335</c:v>
                </c:pt>
                <c:pt idx="38">
                  <c:v>0</c:v>
                </c:pt>
                <c:pt idx="39">
                  <c:v>0</c:v>
                </c:pt>
                <c:pt idx="40">
                  <c:v>78</c:v>
                </c:pt>
                <c:pt idx="41">
                  <c:v>100</c:v>
                </c:pt>
                <c:pt idx="42">
                  <c:v>100.5</c:v>
                </c:pt>
                <c:pt idx="43">
                  <c:v>238</c:v>
                </c:pt>
                <c:pt idx="44">
                  <c:v>343.5</c:v>
                </c:pt>
                <c:pt idx="45">
                  <c:v>358</c:v>
                </c:pt>
                <c:pt idx="46">
                  <c:v>379.5</c:v>
                </c:pt>
                <c:pt idx="47">
                  <c:v>379.5</c:v>
                </c:pt>
                <c:pt idx="48">
                  <c:v>405</c:v>
                </c:pt>
                <c:pt idx="49">
                  <c:v>426.5</c:v>
                </c:pt>
                <c:pt idx="50">
                  <c:v>427.5</c:v>
                </c:pt>
                <c:pt idx="51">
                  <c:v>429.5</c:v>
                </c:pt>
                <c:pt idx="52">
                  <c:v>429.5</c:v>
                </c:pt>
                <c:pt idx="53">
                  <c:v>429.5</c:v>
                </c:pt>
                <c:pt idx="54">
                  <c:v>429.5</c:v>
                </c:pt>
                <c:pt idx="55">
                  <c:v>453</c:v>
                </c:pt>
                <c:pt idx="56">
                  <c:v>453</c:v>
                </c:pt>
                <c:pt idx="57">
                  <c:v>503.5</c:v>
                </c:pt>
                <c:pt idx="58">
                  <c:v>506</c:v>
                </c:pt>
                <c:pt idx="59">
                  <c:v>524</c:v>
                </c:pt>
                <c:pt idx="60">
                  <c:v>667</c:v>
                </c:pt>
                <c:pt idx="61">
                  <c:v>684.5</c:v>
                </c:pt>
                <c:pt idx="62">
                  <c:v>737.5</c:v>
                </c:pt>
                <c:pt idx="63">
                  <c:v>737.5</c:v>
                </c:pt>
                <c:pt idx="64">
                  <c:v>764</c:v>
                </c:pt>
                <c:pt idx="65">
                  <c:v>808</c:v>
                </c:pt>
                <c:pt idx="66">
                  <c:v>808</c:v>
                </c:pt>
                <c:pt idx="67">
                  <c:v>808</c:v>
                </c:pt>
                <c:pt idx="68">
                  <c:v>811.5</c:v>
                </c:pt>
                <c:pt idx="69">
                  <c:v>882</c:v>
                </c:pt>
                <c:pt idx="70">
                  <c:v>885.5</c:v>
                </c:pt>
                <c:pt idx="71">
                  <c:v>903</c:v>
                </c:pt>
                <c:pt idx="72">
                  <c:v>950</c:v>
                </c:pt>
                <c:pt idx="73">
                  <c:v>950.5</c:v>
                </c:pt>
                <c:pt idx="74">
                  <c:v>1024.5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5">
                  <c:v>-3.6205649999974412</c:v>
                </c:pt>
                <c:pt idx="13">
                  <c:v>-3.2784549999996671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1-4AF0-8A4A-58A2FCFF9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3936"/>
        <c:axId val="1"/>
      </c:scatterChart>
      <c:valAx>
        <c:axId val="766443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77211799142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3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510352872557596"/>
          <c:y val="0.92073298764483702"/>
          <c:w val="0.4629638270524826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18</xdr:col>
      <xdr:colOff>209550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430C802F-15AA-E8EF-4D28-CB2129125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19050</xdr:rowOff>
    </xdr:from>
    <xdr:to>
      <xdr:col>12</xdr:col>
      <xdr:colOff>581025</xdr:colOff>
      <xdr:row>22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5D64706-5EC1-D849-4439-AF7F3E09C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22</xdr:row>
      <xdr:rowOff>133349</xdr:rowOff>
    </xdr:from>
    <xdr:to>
      <xdr:col>12</xdr:col>
      <xdr:colOff>600075</xdr:colOff>
      <xdr:row>42</xdr:row>
      <xdr:rowOff>85724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A4C65BD-E361-46B0-EAA8-94362295C3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680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4597" TargetMode="External"/><Relationship Id="rId12" Type="http://schemas.openxmlformats.org/officeDocument/2006/relationships/hyperlink" Target="http://var.astro.cz/oejv/issues/oejv0094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3286" TargetMode="External"/><Relationship Id="rId6" Type="http://schemas.openxmlformats.org/officeDocument/2006/relationships/hyperlink" Target="http://www.konkoly.hu/cgi-bin/IBVS?4362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4217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745" TargetMode="External"/><Relationship Id="rId19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4194" TargetMode="External"/><Relationship Id="rId9" Type="http://schemas.openxmlformats.org/officeDocument/2006/relationships/hyperlink" Target="http://www.konkoly.hu/cgi-bin/IBVS?4680" TargetMode="External"/><Relationship Id="rId1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9"/>
  <sheetViews>
    <sheetView tabSelected="1" workbookViewId="0">
      <pane xSplit="14" ySplit="21" topLeftCell="O79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style="4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59</v>
      </c>
    </row>
    <row r="2" spans="1:6" x14ac:dyDescent="0.2">
      <c r="A2" t="s">
        <v>19</v>
      </c>
      <c r="B2" s="12" t="s">
        <v>47</v>
      </c>
    </row>
    <row r="3" spans="1:6" ht="13.5" thickBot="1" x14ac:dyDescent="0.25"/>
    <row r="4" spans="1:6" ht="14.25" thickTop="1" thickBot="1" x14ac:dyDescent="0.25">
      <c r="A4" s="7" t="s">
        <v>1</v>
      </c>
      <c r="C4" s="3">
        <v>43348.442999999999</v>
      </c>
      <c r="D4" s="4">
        <v>15.33779</v>
      </c>
    </row>
    <row r="5" spans="1:6" ht="13.5" thickTop="1" x14ac:dyDescent="0.2">
      <c r="A5" s="55" t="s">
        <v>343</v>
      </c>
      <c r="B5" s="18"/>
      <c r="C5" s="56">
        <v>-9.5</v>
      </c>
      <c r="D5" s="18" t="s">
        <v>344</v>
      </c>
    </row>
    <row r="6" spans="1:6" x14ac:dyDescent="0.2">
      <c r="A6" s="7" t="s">
        <v>2</v>
      </c>
    </row>
    <row r="7" spans="1:6" x14ac:dyDescent="0.2">
      <c r="A7" t="s">
        <v>3</v>
      </c>
      <c r="C7">
        <f>+C4</f>
        <v>43348.442999999999</v>
      </c>
    </row>
    <row r="8" spans="1:6" x14ac:dyDescent="0.2">
      <c r="A8" t="s">
        <v>4</v>
      </c>
      <c r="C8">
        <f>+D4</f>
        <v>15.33779</v>
      </c>
    </row>
    <row r="9" spans="1:6" x14ac:dyDescent="0.2">
      <c r="A9" s="16" t="s">
        <v>52</v>
      </c>
      <c r="B9" s="16"/>
      <c r="C9" s="17">
        <v>21</v>
      </c>
      <c r="D9" s="17">
        <v>21</v>
      </c>
    </row>
    <row r="10" spans="1:6" ht="13.5" thickBot="1" x14ac:dyDescent="0.25">
      <c r="A10" s="18"/>
      <c r="B10" s="18"/>
      <c r="C10" s="6" t="s">
        <v>43</v>
      </c>
      <c r="D10" s="6" t="s">
        <v>44</v>
      </c>
    </row>
    <row r="11" spans="1:6" x14ac:dyDescent="0.2">
      <c r="A11" s="18" t="s">
        <v>16</v>
      </c>
      <c r="B11" s="18"/>
      <c r="C11" s="19">
        <f ca="1">INTERCEPT(INDIRECT(C14):R$933,INDIRECT(C13):$F$933)</f>
        <v>-3.7933539852314173E-2</v>
      </c>
      <c r="D11" s="19">
        <f ca="1">INTERCEPT(INDIRECT(D14):S$933,INDIRECT(D13):$F$933)</f>
        <v>-0.68216331426421117</v>
      </c>
      <c r="E11" s="16" t="s">
        <v>61</v>
      </c>
      <c r="F11">
        <v>1</v>
      </c>
    </row>
    <row r="12" spans="1:6" x14ac:dyDescent="0.2">
      <c r="A12" s="18" t="s">
        <v>17</v>
      </c>
      <c r="B12" s="18"/>
      <c r="C12" s="19">
        <f ca="1">SLOPE(INDIRECT(C14):R$933,INDIRECT(C13):$F$933)</f>
        <v>7.7689600310242743E-6</v>
      </c>
      <c r="D12" s="19">
        <f ca="1">SLOPE(INDIRECT(D14):S$933,INDIRECT(D13):$F$933)</f>
        <v>1.1962154716582785E-4</v>
      </c>
      <c r="E12" s="16" t="s">
        <v>62</v>
      </c>
      <c r="F12" s="31">
        <f ca="1">NOW()+15018.5+$C$5/24</f>
        <v>60340.718401388884</v>
      </c>
    </row>
    <row r="13" spans="1:6" x14ac:dyDescent="0.2">
      <c r="A13" s="16" t="s">
        <v>53</v>
      </c>
      <c r="B13" s="16"/>
      <c r="C13" s="17" t="str">
        <f>"F"&amp;C9</f>
        <v>F21</v>
      </c>
      <c r="D13" s="17" t="str">
        <f>"F"&amp;D9</f>
        <v>F21</v>
      </c>
      <c r="E13" s="16" t="s">
        <v>63</v>
      </c>
      <c r="F13" s="31">
        <f ca="1">ROUND(2*(F12-$C$7)/$C$8,0)/2+F11</f>
        <v>1109</v>
      </c>
    </row>
    <row r="14" spans="1:6" x14ac:dyDescent="0.2">
      <c r="A14" s="16" t="s">
        <v>54</v>
      </c>
      <c r="B14" s="16"/>
      <c r="C14" s="17" t="str">
        <f>"R"&amp;C9</f>
        <v>R21</v>
      </c>
      <c r="D14" s="17" t="str">
        <f>"S"&amp;D9</f>
        <v>S21</v>
      </c>
      <c r="E14" s="16" t="s">
        <v>64</v>
      </c>
      <c r="F14" s="32">
        <f ca="1">ROUND(2*(F12-$C$15)/$C$16,0)/2+F11</f>
        <v>85</v>
      </c>
    </row>
    <row r="15" spans="1:6" x14ac:dyDescent="0.2">
      <c r="A15" s="20" t="s">
        <v>18</v>
      </c>
      <c r="B15" s="18"/>
      <c r="C15" s="21">
        <f ca="1">($C7+C11)+($C8+C12)*INT(MAX($F21:$F3531))</f>
        <v>59054.309981875216</v>
      </c>
      <c r="D15" s="21">
        <f ca="1">($C7+D11)+($C8+D12)*INT(MAX($F21:$F3531))</f>
        <v>59053.780289150032</v>
      </c>
      <c r="E15" s="16" t="s">
        <v>65</v>
      </c>
      <c r="F15" s="33">
        <f ca="1">+$C$15+$C$16*F14-15018.5-$C$5/24</f>
        <v>45339.918625570157</v>
      </c>
    </row>
    <row r="16" spans="1:6" x14ac:dyDescent="0.2">
      <c r="A16" s="22" t="s">
        <v>5</v>
      </c>
      <c r="B16" s="18"/>
      <c r="C16" s="23">
        <f ca="1">+$C8+C12</f>
        <v>15.337797768960032</v>
      </c>
      <c r="D16" s="19">
        <f ca="1">+$C8+D12</f>
        <v>15.337909621547166</v>
      </c>
      <c r="E16" s="34"/>
      <c r="F16" s="34" t="s">
        <v>66</v>
      </c>
    </row>
    <row r="17" spans="1:21" ht="13.5" thickBot="1" x14ac:dyDescent="0.25">
      <c r="A17" s="24" t="s">
        <v>55</v>
      </c>
      <c r="C17">
        <f>COUNT(C21:C1245)</f>
        <v>75</v>
      </c>
    </row>
    <row r="18" spans="1:21" ht="14.25" thickTop="1" thickBot="1" x14ac:dyDescent="0.25">
      <c r="A18" s="7" t="s">
        <v>48</v>
      </c>
      <c r="C18" s="13">
        <f ca="1">+C15</f>
        <v>59054.309981875216</v>
      </c>
      <c r="D18" s="10">
        <f ca="1">+C16</f>
        <v>15.337797768960032</v>
      </c>
      <c r="E18">
        <f>R19</f>
        <v>40</v>
      </c>
    </row>
    <row r="19" spans="1:21" ht="13.5" thickBot="1" x14ac:dyDescent="0.25">
      <c r="A19" s="7" t="s">
        <v>49</v>
      </c>
      <c r="C19" s="14">
        <f ca="1">D15</f>
        <v>59053.780289150032</v>
      </c>
      <c r="D19" s="11">
        <f ca="1">D16</f>
        <v>15.337909621547166</v>
      </c>
      <c r="E19">
        <f>S19</f>
        <v>30</v>
      </c>
      <c r="R19">
        <f>COUNT(R21:R938)</f>
        <v>40</v>
      </c>
      <c r="S19">
        <f>COUNT(S21:S938)</f>
        <v>30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58" t="s">
        <v>11</v>
      </c>
      <c r="H20" s="9" t="s">
        <v>77</v>
      </c>
      <c r="I20" s="9" t="s">
        <v>79</v>
      </c>
      <c r="J20" s="9" t="s">
        <v>74</v>
      </c>
      <c r="K20" s="9" t="s">
        <v>72</v>
      </c>
      <c r="L20" s="9" t="s">
        <v>346</v>
      </c>
      <c r="M20" s="9" t="s">
        <v>347</v>
      </c>
      <c r="N20" s="9" t="s">
        <v>20</v>
      </c>
      <c r="O20" s="9" t="s">
        <v>45</v>
      </c>
      <c r="P20" s="8" t="s">
        <v>46</v>
      </c>
      <c r="Q20" s="6" t="s">
        <v>15</v>
      </c>
      <c r="R20" s="8" t="s">
        <v>43</v>
      </c>
      <c r="S20" s="8" t="s">
        <v>44</v>
      </c>
      <c r="U20" s="57" t="s">
        <v>345</v>
      </c>
    </row>
    <row r="21" spans="1:21" x14ac:dyDescent="0.2">
      <c r="A21" s="53" t="s">
        <v>86</v>
      </c>
      <c r="B21" s="54" t="s">
        <v>51</v>
      </c>
      <c r="C21" s="53">
        <v>18240.22</v>
      </c>
      <c r="D21" s="53" t="s">
        <v>79</v>
      </c>
      <c r="E21" s="25">
        <f t="shared" ref="E21:E52" si="0">+(C21-C$7)/C$8</f>
        <v>-1637.0170017975208</v>
      </c>
      <c r="F21">
        <f t="shared" ref="F21:F52" si="1">ROUND(2*E21,0)/2</f>
        <v>-1637</v>
      </c>
      <c r="G21" s="40">
        <f>+C21-(C$7+F21*C$8)</f>
        <v>-0.26076999999713735</v>
      </c>
      <c r="I21">
        <f>+G21</f>
        <v>-0.26076999999713735</v>
      </c>
      <c r="O21">
        <f t="shared" ref="O21:O59" ca="1" si="2">+C$11+C$12*F21</f>
        <v>-5.0651327423100911E-2</v>
      </c>
      <c r="P21">
        <f t="shared" ref="P21:P52" ca="1" si="3">+D$11+D$12*$F21</f>
        <v>-0.87798378697467139</v>
      </c>
      <c r="Q21" s="2">
        <f t="shared" ref="Q21:Q52" si="4">+C21-15018.5</f>
        <v>3221.7200000000012</v>
      </c>
      <c r="R21">
        <f>G21</f>
        <v>-0.26076999999713735</v>
      </c>
    </row>
    <row r="22" spans="1:21" x14ac:dyDescent="0.2">
      <c r="A22" s="53" t="s">
        <v>91</v>
      </c>
      <c r="B22" s="54" t="s">
        <v>51</v>
      </c>
      <c r="C22" s="53">
        <v>26507.47</v>
      </c>
      <c r="D22" s="53" t="s">
        <v>79</v>
      </c>
      <c r="E22" s="25">
        <f t="shared" si="0"/>
        <v>-1098.0051884919535</v>
      </c>
      <c r="F22">
        <f t="shared" si="1"/>
        <v>-1098</v>
      </c>
      <c r="G22" s="40">
        <f>+C22-(C$7+F22*C$8)</f>
        <v>-7.9579999997804407E-2</v>
      </c>
      <c r="I22">
        <f>+G22</f>
        <v>-7.9579999997804407E-2</v>
      </c>
      <c r="O22">
        <f t="shared" ca="1" si="2"/>
        <v>-4.6463857966378828E-2</v>
      </c>
      <c r="P22">
        <f t="shared" ca="1" si="3"/>
        <v>-0.81350777305229016</v>
      </c>
      <c r="Q22" s="2">
        <f t="shared" si="4"/>
        <v>11488.970000000001</v>
      </c>
      <c r="R22">
        <f>G22</f>
        <v>-7.9579999997804407E-2</v>
      </c>
    </row>
    <row r="23" spans="1:21" x14ac:dyDescent="0.2">
      <c r="A23" s="53" t="s">
        <v>95</v>
      </c>
      <c r="B23" s="54" t="s">
        <v>51</v>
      </c>
      <c r="C23" s="53">
        <v>28762.2</v>
      </c>
      <c r="D23" s="53" t="s">
        <v>79</v>
      </c>
      <c r="E23" s="25">
        <f t="shared" si="0"/>
        <v>-951.00030708465817</v>
      </c>
      <c r="F23">
        <f t="shared" si="1"/>
        <v>-951</v>
      </c>
      <c r="G23" s="40">
        <f>+C23-(C$7+F23*C$8)</f>
        <v>-4.7099999974307138E-3</v>
      </c>
      <c r="I23">
        <f>+G23</f>
        <v>-4.7099999974307138E-3</v>
      </c>
      <c r="O23">
        <f t="shared" ca="1" si="2"/>
        <v>-4.532182084181826E-2</v>
      </c>
      <c r="P23">
        <f t="shared" ca="1" si="3"/>
        <v>-0.7959234056189135</v>
      </c>
      <c r="Q23" s="2">
        <f t="shared" si="4"/>
        <v>13743.7</v>
      </c>
      <c r="R23">
        <f>G23</f>
        <v>-4.7099999974307138E-3</v>
      </c>
    </row>
    <row r="24" spans="1:21" x14ac:dyDescent="0.2">
      <c r="A24" s="53" t="s">
        <v>91</v>
      </c>
      <c r="B24" s="54" t="s">
        <v>42</v>
      </c>
      <c r="C24" s="53">
        <v>28784.42</v>
      </c>
      <c r="D24" s="53" t="s">
        <v>79</v>
      </c>
      <c r="E24" s="25">
        <f t="shared" si="0"/>
        <v>-949.55159772040179</v>
      </c>
      <c r="F24">
        <f t="shared" si="1"/>
        <v>-949.5</v>
      </c>
      <c r="G24" s="40">
        <f>+C24-(C$7+F24*C$8)</f>
        <v>-0.79139500000019325</v>
      </c>
      <c r="I24">
        <f>+G24</f>
        <v>-0.79139500000019325</v>
      </c>
      <c r="O24">
        <f t="shared" ca="1" si="2"/>
        <v>-4.5310167401771718E-2</v>
      </c>
      <c r="P24">
        <f t="shared" ca="1" si="3"/>
        <v>-0.79574397329816471</v>
      </c>
      <c r="Q24" s="2">
        <f t="shared" si="4"/>
        <v>13765.919999999998</v>
      </c>
      <c r="S24">
        <f>G24</f>
        <v>-0.79139500000019325</v>
      </c>
    </row>
    <row r="25" spans="1:21" x14ac:dyDescent="0.2">
      <c r="A25" s="53" t="s">
        <v>91</v>
      </c>
      <c r="B25" s="54" t="s">
        <v>42</v>
      </c>
      <c r="C25" s="53">
        <v>29106.46</v>
      </c>
      <c r="D25" s="53" t="s">
        <v>79</v>
      </c>
      <c r="E25" s="25">
        <f t="shared" si="0"/>
        <v>-928.55509170486755</v>
      </c>
      <c r="F25">
        <f t="shared" si="1"/>
        <v>-928.5</v>
      </c>
      <c r="G25" s="40">
        <f>+C25-(C$7+F25*C$8)</f>
        <v>-0.8449849999997241</v>
      </c>
      <c r="I25">
        <f>+G25</f>
        <v>-0.8449849999997241</v>
      </c>
      <c r="O25">
        <f t="shared" ca="1" si="2"/>
        <v>-4.5147019241120211E-2</v>
      </c>
      <c r="P25">
        <f t="shared" ca="1" si="3"/>
        <v>-0.79323192080768234</v>
      </c>
      <c r="Q25" s="2">
        <f t="shared" si="4"/>
        <v>14087.96</v>
      </c>
      <c r="S25">
        <f>G25</f>
        <v>-0.8449849999997241</v>
      </c>
    </row>
    <row r="26" spans="1:21" x14ac:dyDescent="0.2">
      <c r="A26" s="53" t="s">
        <v>95</v>
      </c>
      <c r="B26" s="54" t="s">
        <v>51</v>
      </c>
      <c r="C26" s="53">
        <v>29134.36</v>
      </c>
      <c r="D26" s="53" t="s">
        <v>79</v>
      </c>
      <c r="E26" s="25">
        <f t="shared" si="0"/>
        <v>-926.73605519439229</v>
      </c>
      <c r="F26">
        <f t="shared" si="1"/>
        <v>-926.5</v>
      </c>
      <c r="O26">
        <f t="shared" ca="1" si="2"/>
        <v>-4.513148132105816E-2</v>
      </c>
      <c r="P26">
        <f t="shared" ca="1" si="3"/>
        <v>-0.79299267771335069</v>
      </c>
      <c r="Q26" s="2">
        <f t="shared" si="4"/>
        <v>14115.86</v>
      </c>
      <c r="U26" s="40">
        <f>+C26-(C$7+F26*C$8)</f>
        <v>-3.6205649999974412</v>
      </c>
    </row>
    <row r="27" spans="1:21" x14ac:dyDescent="0.2">
      <c r="A27" s="53" t="s">
        <v>91</v>
      </c>
      <c r="B27" s="54" t="s">
        <v>51</v>
      </c>
      <c r="C27" s="53">
        <v>29375.57</v>
      </c>
      <c r="D27" s="53" t="s">
        <v>79</v>
      </c>
      <c r="E27" s="25">
        <f t="shared" si="0"/>
        <v>-911.00953918393714</v>
      </c>
      <c r="F27">
        <f t="shared" si="1"/>
        <v>-911</v>
      </c>
      <c r="G27" s="40">
        <f t="shared" ref="G27:G33" si="5">+C27-(C$7+F27*C$8)</f>
        <v>-0.14631000000008498</v>
      </c>
      <c r="I27">
        <f t="shared" ref="I27:I33" si="6">+G27</f>
        <v>-0.14631000000008498</v>
      </c>
      <c r="O27">
        <f t="shared" ca="1" si="2"/>
        <v>-4.5011062440577287E-2</v>
      </c>
      <c r="P27">
        <f t="shared" ca="1" si="3"/>
        <v>-0.79113854373228032</v>
      </c>
      <c r="Q27" s="2">
        <f t="shared" si="4"/>
        <v>14357.07</v>
      </c>
      <c r="R27">
        <f>G27</f>
        <v>-0.14631000000008498</v>
      </c>
    </row>
    <row r="28" spans="1:21" x14ac:dyDescent="0.2">
      <c r="A28" s="53" t="s">
        <v>95</v>
      </c>
      <c r="B28" s="54" t="s">
        <v>51</v>
      </c>
      <c r="C28" s="53">
        <v>29498.36</v>
      </c>
      <c r="D28" s="53" t="s">
        <v>79</v>
      </c>
      <c r="E28" s="25">
        <f t="shared" si="0"/>
        <v>-903.00382258460957</v>
      </c>
      <c r="F28">
        <f t="shared" si="1"/>
        <v>-903</v>
      </c>
      <c r="G28" s="40">
        <f t="shared" si="5"/>
        <v>-5.8629999999538995E-2</v>
      </c>
      <c r="I28">
        <f t="shared" si="6"/>
        <v>-5.8629999999538995E-2</v>
      </c>
      <c r="O28">
        <f t="shared" ca="1" si="2"/>
        <v>-4.4948910760329093E-2</v>
      </c>
      <c r="P28">
        <f t="shared" ca="1" si="3"/>
        <v>-0.7901815713549537</v>
      </c>
      <c r="Q28" s="2">
        <f t="shared" si="4"/>
        <v>14479.86</v>
      </c>
      <c r="R28">
        <f>G28</f>
        <v>-5.8629999999538995E-2</v>
      </c>
    </row>
    <row r="29" spans="1:21" x14ac:dyDescent="0.2">
      <c r="A29" s="53" t="s">
        <v>95</v>
      </c>
      <c r="B29" s="54" t="s">
        <v>51</v>
      </c>
      <c r="C29" s="53">
        <v>29728.57</v>
      </c>
      <c r="D29" s="53" t="s">
        <v>79</v>
      </c>
      <c r="E29" s="25">
        <f t="shared" si="0"/>
        <v>-887.99448942774677</v>
      </c>
      <c r="F29">
        <f t="shared" si="1"/>
        <v>-888</v>
      </c>
      <c r="G29" s="40">
        <f t="shared" si="5"/>
        <v>8.4520000000338769E-2</v>
      </c>
      <c r="I29">
        <f t="shared" si="6"/>
        <v>8.4520000000338769E-2</v>
      </c>
      <c r="O29">
        <f t="shared" ca="1" si="2"/>
        <v>-4.4832376359863729E-2</v>
      </c>
      <c r="P29">
        <f t="shared" ca="1" si="3"/>
        <v>-0.7883872481474663</v>
      </c>
      <c r="Q29" s="2">
        <f t="shared" si="4"/>
        <v>14710.07</v>
      </c>
      <c r="R29">
        <f>G29</f>
        <v>8.4520000000338769E-2</v>
      </c>
    </row>
    <row r="30" spans="1:21" x14ac:dyDescent="0.2">
      <c r="A30" s="53" t="s">
        <v>91</v>
      </c>
      <c r="B30" s="54" t="s">
        <v>51</v>
      </c>
      <c r="C30" s="53">
        <v>30464.54</v>
      </c>
      <c r="D30" s="53" t="s">
        <v>79</v>
      </c>
      <c r="E30" s="25">
        <f t="shared" si="0"/>
        <v>-840.01039263153291</v>
      </c>
      <c r="F30">
        <f t="shared" si="1"/>
        <v>-840</v>
      </c>
      <c r="G30" s="40">
        <f t="shared" si="5"/>
        <v>-0.15939999999682186</v>
      </c>
      <c r="I30">
        <f t="shared" si="6"/>
        <v>-0.15939999999682186</v>
      </c>
      <c r="O30">
        <f t="shared" ca="1" si="2"/>
        <v>-4.4459466278374563E-2</v>
      </c>
      <c r="P30">
        <f t="shared" ca="1" si="3"/>
        <v>-0.78264541388350661</v>
      </c>
      <c r="Q30" s="2">
        <f t="shared" si="4"/>
        <v>15446.04</v>
      </c>
      <c r="R30">
        <f>G30</f>
        <v>-0.15939999999682186</v>
      </c>
    </row>
    <row r="31" spans="1:21" x14ac:dyDescent="0.2">
      <c r="A31" s="53" t="s">
        <v>121</v>
      </c>
      <c r="B31" s="54" t="s">
        <v>42</v>
      </c>
      <c r="C31" s="53">
        <v>30548.29</v>
      </c>
      <c r="D31" s="53" t="s">
        <v>79</v>
      </c>
      <c r="E31" s="25">
        <f t="shared" si="0"/>
        <v>-834.55002317804576</v>
      </c>
      <c r="F31">
        <f t="shared" si="1"/>
        <v>-834.5</v>
      </c>
      <c r="G31" s="40">
        <f t="shared" si="5"/>
        <v>-0.76724499999909312</v>
      </c>
      <c r="I31">
        <f t="shared" si="6"/>
        <v>-0.76724499999909312</v>
      </c>
      <c r="O31">
        <f t="shared" ca="1" si="2"/>
        <v>-4.4416736998203928E-2</v>
      </c>
      <c r="P31">
        <f t="shared" ca="1" si="3"/>
        <v>-0.78198749537409451</v>
      </c>
      <c r="Q31" s="2">
        <f t="shared" si="4"/>
        <v>15529.79</v>
      </c>
      <c r="S31">
        <f>G31</f>
        <v>-0.76724499999909312</v>
      </c>
    </row>
    <row r="32" spans="1:21" x14ac:dyDescent="0.2">
      <c r="A32" s="53" t="s">
        <v>121</v>
      </c>
      <c r="B32" s="54" t="s">
        <v>51</v>
      </c>
      <c r="C32" s="53">
        <v>31262.25</v>
      </c>
      <c r="D32" s="53" t="s">
        <v>79</v>
      </c>
      <c r="E32" s="25">
        <f t="shared" si="0"/>
        <v>-788.00094407342908</v>
      </c>
      <c r="F32">
        <f t="shared" si="1"/>
        <v>-788</v>
      </c>
      <c r="G32" s="40">
        <f t="shared" si="5"/>
        <v>-1.4479999998002313E-2</v>
      </c>
      <c r="I32">
        <f t="shared" si="6"/>
        <v>-1.4479999998002313E-2</v>
      </c>
      <c r="O32">
        <f t="shared" ca="1" si="2"/>
        <v>-4.4055480356761302E-2</v>
      </c>
      <c r="P32">
        <f t="shared" ca="1" si="3"/>
        <v>-0.77642509343088351</v>
      </c>
      <c r="Q32" s="2">
        <f t="shared" si="4"/>
        <v>16243.75</v>
      </c>
      <c r="R32">
        <f>G32</f>
        <v>-1.4479999998002313E-2</v>
      </c>
    </row>
    <row r="33" spans="1:21" x14ac:dyDescent="0.2">
      <c r="A33" s="53" t="s">
        <v>121</v>
      </c>
      <c r="B33" s="54" t="s">
        <v>42</v>
      </c>
      <c r="C33" s="53">
        <v>31637.26</v>
      </c>
      <c r="D33" s="53" t="s">
        <v>79</v>
      </c>
      <c r="E33" s="25">
        <f t="shared" si="0"/>
        <v>-763.55087662564165</v>
      </c>
      <c r="F33">
        <f t="shared" si="1"/>
        <v>-763.5</v>
      </c>
      <c r="G33" s="40">
        <f t="shared" si="5"/>
        <v>-0.78033499999946798</v>
      </c>
      <c r="I33">
        <f t="shared" si="6"/>
        <v>-0.78033499999946798</v>
      </c>
      <c r="O33">
        <f t="shared" ca="1" si="2"/>
        <v>-4.386514083600121E-2</v>
      </c>
      <c r="P33">
        <f t="shared" ca="1" si="3"/>
        <v>-0.77349436552532069</v>
      </c>
      <c r="Q33" s="2">
        <f t="shared" si="4"/>
        <v>16618.759999999998</v>
      </c>
      <c r="S33">
        <f>G33</f>
        <v>-0.78033499999946798</v>
      </c>
    </row>
    <row r="34" spans="1:21" x14ac:dyDescent="0.2">
      <c r="A34" s="53" t="s">
        <v>121</v>
      </c>
      <c r="B34" s="54" t="s">
        <v>42</v>
      </c>
      <c r="C34" s="53">
        <v>32064.22</v>
      </c>
      <c r="D34" s="53" t="s">
        <v>79</v>
      </c>
      <c r="E34" s="25">
        <f t="shared" si="0"/>
        <v>-735.71375015566116</v>
      </c>
      <c r="F34">
        <f t="shared" si="1"/>
        <v>-735.5</v>
      </c>
      <c r="O34">
        <f t="shared" ca="1" si="2"/>
        <v>-4.3647609955132526E-2</v>
      </c>
      <c r="P34">
        <f t="shared" ca="1" si="3"/>
        <v>-0.77014496220467754</v>
      </c>
      <c r="Q34" s="2">
        <f t="shared" si="4"/>
        <v>17045.72</v>
      </c>
      <c r="U34" s="40">
        <f>+C34-(C$7+F34*C$8)</f>
        <v>-3.2784549999996671</v>
      </c>
    </row>
    <row r="35" spans="1:21" x14ac:dyDescent="0.2">
      <c r="A35" s="53" t="s">
        <v>91</v>
      </c>
      <c r="B35" s="54" t="s">
        <v>51</v>
      </c>
      <c r="C35" s="53">
        <v>32719.43</v>
      </c>
      <c r="D35" s="53" t="s">
        <v>79</v>
      </c>
      <c r="E35" s="25">
        <f t="shared" si="0"/>
        <v>-692.99507947363986</v>
      </c>
      <c r="F35">
        <f t="shared" si="1"/>
        <v>-693</v>
      </c>
      <c r="G35" s="40">
        <f t="shared" ref="G35:G66" si="7">+C35-(C$7+F35*C$8)</f>
        <v>7.5470000003406312E-2</v>
      </c>
      <c r="I35">
        <f t="shared" ref="I35:I59" si="8">+G35</f>
        <v>7.5470000003406312E-2</v>
      </c>
      <c r="O35">
        <f t="shared" ca="1" si="2"/>
        <v>-4.3317429153813994E-2</v>
      </c>
      <c r="P35">
        <f t="shared" ca="1" si="3"/>
        <v>-0.76506104645012984</v>
      </c>
      <c r="Q35" s="2">
        <f t="shared" si="4"/>
        <v>17700.93</v>
      </c>
      <c r="R35">
        <f>G35</f>
        <v>7.5470000003406312E-2</v>
      </c>
    </row>
    <row r="36" spans="1:21" x14ac:dyDescent="0.2">
      <c r="A36" s="53" t="s">
        <v>91</v>
      </c>
      <c r="B36" s="54" t="s">
        <v>42</v>
      </c>
      <c r="C36" s="53">
        <v>32772.26</v>
      </c>
      <c r="D36" s="53" t="s">
        <v>79</v>
      </c>
      <c r="E36" s="25">
        <f t="shared" si="0"/>
        <v>-689.55064582315947</v>
      </c>
      <c r="F36">
        <f t="shared" si="1"/>
        <v>-689.5</v>
      </c>
      <c r="G36" s="40">
        <f t="shared" si="7"/>
        <v>-0.77679499999794643</v>
      </c>
      <c r="I36">
        <f t="shared" si="8"/>
        <v>-0.77679499999794643</v>
      </c>
      <c r="O36">
        <f t="shared" ca="1" si="2"/>
        <v>-4.3290237793705409E-2</v>
      </c>
      <c r="P36">
        <f t="shared" ca="1" si="3"/>
        <v>-0.76464237103504951</v>
      </c>
      <c r="Q36" s="2">
        <f t="shared" si="4"/>
        <v>17753.760000000002</v>
      </c>
      <c r="S36">
        <f>G36</f>
        <v>-0.77679499999794643</v>
      </c>
    </row>
    <row r="37" spans="1:21" x14ac:dyDescent="0.2">
      <c r="A37" s="53" t="s">
        <v>141</v>
      </c>
      <c r="B37" s="54" t="s">
        <v>42</v>
      </c>
      <c r="C37" s="53">
        <v>32787.620000000003</v>
      </c>
      <c r="D37" s="53" t="s">
        <v>79</v>
      </c>
      <c r="E37" s="25">
        <f t="shared" si="0"/>
        <v>-688.54919776577958</v>
      </c>
      <c r="F37">
        <f t="shared" si="1"/>
        <v>-688.5</v>
      </c>
      <c r="G37" s="40">
        <f t="shared" si="7"/>
        <v>-0.75458499999513151</v>
      </c>
      <c r="I37">
        <f t="shared" si="8"/>
        <v>-0.75458499999513151</v>
      </c>
      <c r="O37">
        <f t="shared" ca="1" si="2"/>
        <v>-4.3282468833674384E-2</v>
      </c>
      <c r="P37">
        <f t="shared" ca="1" si="3"/>
        <v>-0.76452274948788368</v>
      </c>
      <c r="Q37" s="2">
        <f t="shared" si="4"/>
        <v>17769.120000000003</v>
      </c>
      <c r="S37">
        <f>G37</f>
        <v>-0.75458499999513151</v>
      </c>
    </row>
    <row r="38" spans="1:21" x14ac:dyDescent="0.2">
      <c r="A38" s="53" t="s">
        <v>91</v>
      </c>
      <c r="B38" s="54" t="s">
        <v>51</v>
      </c>
      <c r="C38" s="53">
        <v>33087.26</v>
      </c>
      <c r="D38" s="53" t="s">
        <v>79</v>
      </c>
      <c r="E38" s="25">
        <f t="shared" si="0"/>
        <v>-669.01313683392436</v>
      </c>
      <c r="F38">
        <f t="shared" si="1"/>
        <v>-669</v>
      </c>
      <c r="G38" s="40">
        <f t="shared" si="7"/>
        <v>-0.20148999999946682</v>
      </c>
      <c r="I38">
        <f t="shared" si="8"/>
        <v>-0.20148999999946682</v>
      </c>
      <c r="O38">
        <f t="shared" ca="1" si="2"/>
        <v>-4.313097411306941E-2</v>
      </c>
      <c r="P38">
        <f t="shared" ca="1" si="3"/>
        <v>-0.76219012931815</v>
      </c>
      <c r="Q38" s="2">
        <f t="shared" si="4"/>
        <v>18068.760000000002</v>
      </c>
      <c r="R38">
        <f>G38</f>
        <v>-0.20148999999946682</v>
      </c>
    </row>
    <row r="39" spans="1:21" x14ac:dyDescent="0.2">
      <c r="A39" s="53" t="s">
        <v>149</v>
      </c>
      <c r="B39" s="54" t="s">
        <v>51</v>
      </c>
      <c r="C39" s="53">
        <v>33210.199999999997</v>
      </c>
      <c r="D39" s="53" t="s">
        <v>79</v>
      </c>
      <c r="E39" s="25">
        <f t="shared" si="0"/>
        <v>-660.99764046841187</v>
      </c>
      <c r="F39">
        <f t="shared" si="1"/>
        <v>-661</v>
      </c>
      <c r="G39" s="40">
        <f t="shared" si="7"/>
        <v>3.6189999998896383E-2</v>
      </c>
      <c r="I39">
        <f t="shared" si="8"/>
        <v>3.6189999998896383E-2</v>
      </c>
      <c r="O39">
        <f t="shared" ca="1" si="2"/>
        <v>-4.3068822432821216E-2</v>
      </c>
      <c r="P39">
        <f t="shared" ca="1" si="3"/>
        <v>-0.76123315694082339</v>
      </c>
      <c r="Q39" s="2">
        <f t="shared" si="4"/>
        <v>18191.699999999997</v>
      </c>
      <c r="R39">
        <f>G39</f>
        <v>3.6189999998896383E-2</v>
      </c>
    </row>
    <row r="40" spans="1:21" x14ac:dyDescent="0.2">
      <c r="A40" s="53" t="s">
        <v>149</v>
      </c>
      <c r="B40" s="54" t="s">
        <v>42</v>
      </c>
      <c r="C40" s="53">
        <v>33263.08</v>
      </c>
      <c r="D40" s="53" t="s">
        <v>79</v>
      </c>
      <c r="E40" s="25">
        <f t="shared" si="0"/>
        <v>-657.54994689586943</v>
      </c>
      <c r="F40">
        <f t="shared" si="1"/>
        <v>-657.5</v>
      </c>
      <c r="G40" s="40">
        <f t="shared" si="7"/>
        <v>-0.76607499999954598</v>
      </c>
      <c r="I40">
        <f t="shared" si="8"/>
        <v>-0.76607499999954598</v>
      </c>
      <c r="O40">
        <f t="shared" ca="1" si="2"/>
        <v>-4.3041631072712631E-2</v>
      </c>
      <c r="P40">
        <f t="shared" ca="1" si="3"/>
        <v>-0.76081448152574294</v>
      </c>
      <c r="Q40" s="2">
        <f t="shared" si="4"/>
        <v>18244.580000000002</v>
      </c>
      <c r="S40">
        <f>G40</f>
        <v>-0.76607499999954598</v>
      </c>
    </row>
    <row r="41" spans="1:21" x14ac:dyDescent="0.2">
      <c r="A41" s="53" t="s">
        <v>155</v>
      </c>
      <c r="B41" s="54" t="s">
        <v>42</v>
      </c>
      <c r="C41" s="53">
        <v>33585.199999999997</v>
      </c>
      <c r="D41" s="53" t="s">
        <v>79</v>
      </c>
      <c r="E41" s="25">
        <f t="shared" si="0"/>
        <v>-636.54822500503667</v>
      </c>
      <c r="F41">
        <f t="shared" si="1"/>
        <v>-636.5</v>
      </c>
      <c r="G41" s="40">
        <f t="shared" si="7"/>
        <v>-0.73966500000096858</v>
      </c>
      <c r="I41">
        <f t="shared" si="8"/>
        <v>-0.73966500000096858</v>
      </c>
      <c r="O41">
        <f t="shared" ca="1" si="2"/>
        <v>-4.2878482912061124E-2</v>
      </c>
      <c r="P41">
        <f t="shared" ca="1" si="3"/>
        <v>-0.75830242903526057</v>
      </c>
      <c r="Q41" s="2">
        <f t="shared" si="4"/>
        <v>18566.699999999997</v>
      </c>
      <c r="S41">
        <f>G41</f>
        <v>-0.73966500000096858</v>
      </c>
    </row>
    <row r="42" spans="1:21" x14ac:dyDescent="0.2">
      <c r="A42" s="53" t="s">
        <v>91</v>
      </c>
      <c r="B42" s="54" t="s">
        <v>42</v>
      </c>
      <c r="C42" s="53">
        <v>33953.29</v>
      </c>
      <c r="D42" s="53" t="s">
        <v>79</v>
      </c>
      <c r="E42" s="25">
        <f t="shared" si="0"/>
        <v>-612.54933077059979</v>
      </c>
      <c r="F42">
        <f t="shared" si="1"/>
        <v>-612.5</v>
      </c>
      <c r="G42" s="40">
        <f t="shared" si="7"/>
        <v>-0.75662500000180444</v>
      </c>
      <c r="I42">
        <f t="shared" si="8"/>
        <v>-0.75662500000180444</v>
      </c>
      <c r="O42">
        <f t="shared" ca="1" si="2"/>
        <v>-4.269202787131654E-2</v>
      </c>
      <c r="P42">
        <f t="shared" ca="1" si="3"/>
        <v>-0.75543151190328073</v>
      </c>
      <c r="Q42" s="2">
        <f t="shared" si="4"/>
        <v>18934.79</v>
      </c>
      <c r="S42">
        <f>G42</f>
        <v>-0.75662500000180444</v>
      </c>
    </row>
    <row r="43" spans="1:21" x14ac:dyDescent="0.2">
      <c r="A43" s="53" t="s">
        <v>164</v>
      </c>
      <c r="B43" s="54" t="s">
        <v>51</v>
      </c>
      <c r="C43" s="53">
        <v>34636.525000000001</v>
      </c>
      <c r="D43" s="53" t="s">
        <v>79</v>
      </c>
      <c r="E43" s="25">
        <f t="shared" si="0"/>
        <v>-568.00347377294895</v>
      </c>
      <c r="F43">
        <f t="shared" si="1"/>
        <v>-568</v>
      </c>
      <c r="G43" s="40">
        <f t="shared" si="7"/>
        <v>-5.3280000000086147E-2</v>
      </c>
      <c r="I43">
        <f t="shared" si="8"/>
        <v>-5.3280000000086147E-2</v>
      </c>
      <c r="O43">
        <f t="shared" ca="1" si="2"/>
        <v>-4.2346309149935958E-2</v>
      </c>
      <c r="P43">
        <f t="shared" ca="1" si="3"/>
        <v>-0.75010835305440138</v>
      </c>
      <c r="Q43" s="2">
        <f t="shared" si="4"/>
        <v>19618.025000000001</v>
      </c>
      <c r="R43">
        <f>G43</f>
        <v>-5.3280000000086147E-2</v>
      </c>
    </row>
    <row r="44" spans="1:21" x14ac:dyDescent="0.2">
      <c r="A44" s="53" t="s">
        <v>169</v>
      </c>
      <c r="B44" s="54" t="s">
        <v>42</v>
      </c>
      <c r="C44" s="53">
        <v>35272.387999999999</v>
      </c>
      <c r="D44" s="53" t="s">
        <v>79</v>
      </c>
      <c r="E44" s="25">
        <f t="shared" si="0"/>
        <v>-526.54619733351421</v>
      </c>
      <c r="F44">
        <f t="shared" si="1"/>
        <v>-526.5</v>
      </c>
      <c r="G44" s="40">
        <f t="shared" si="7"/>
        <v>-0.70856500000081724</v>
      </c>
      <c r="I44">
        <f t="shared" si="8"/>
        <v>-0.70856500000081724</v>
      </c>
      <c r="O44">
        <f t="shared" ca="1" si="2"/>
        <v>-4.2023897308648452E-2</v>
      </c>
      <c r="P44">
        <f t="shared" ca="1" si="3"/>
        <v>-0.74514405884701951</v>
      </c>
      <c r="Q44" s="2">
        <f t="shared" si="4"/>
        <v>20253.887999999999</v>
      </c>
      <c r="S44">
        <f>G44</f>
        <v>-0.70856500000081724</v>
      </c>
    </row>
    <row r="45" spans="1:21" x14ac:dyDescent="0.2">
      <c r="A45" s="53" t="s">
        <v>91</v>
      </c>
      <c r="B45" s="54" t="s">
        <v>51</v>
      </c>
      <c r="C45" s="53">
        <v>35664.144999999997</v>
      </c>
      <c r="D45" s="53" t="s">
        <v>79</v>
      </c>
      <c r="E45" s="25">
        <f t="shared" si="0"/>
        <v>-501.00425159035314</v>
      </c>
      <c r="F45">
        <f t="shared" si="1"/>
        <v>-501</v>
      </c>
      <c r="G45" s="40">
        <f t="shared" si="7"/>
        <v>-6.5210000000661239E-2</v>
      </c>
      <c r="I45">
        <f t="shared" si="8"/>
        <v>-6.5210000000661239E-2</v>
      </c>
      <c r="O45">
        <f t="shared" ca="1" si="2"/>
        <v>-4.1825788827857334E-2</v>
      </c>
      <c r="P45">
        <f t="shared" ca="1" si="3"/>
        <v>-0.74209370939429098</v>
      </c>
      <c r="Q45" s="2">
        <f t="shared" si="4"/>
        <v>20645.644999999997</v>
      </c>
      <c r="R45">
        <f>G45</f>
        <v>-6.5210000000661239E-2</v>
      </c>
    </row>
    <row r="46" spans="1:21" x14ac:dyDescent="0.2">
      <c r="A46" s="53" t="s">
        <v>91</v>
      </c>
      <c r="B46" s="54" t="s">
        <v>42</v>
      </c>
      <c r="C46" s="53">
        <v>35732.506000000001</v>
      </c>
      <c r="D46" s="53" t="s">
        <v>79</v>
      </c>
      <c r="E46" s="25">
        <f t="shared" si="0"/>
        <v>-496.54722094904145</v>
      </c>
      <c r="F46">
        <f t="shared" si="1"/>
        <v>-496.5</v>
      </c>
      <c r="G46" s="40">
        <f t="shared" si="7"/>
        <v>-0.72426499999710359</v>
      </c>
      <c r="I46">
        <f t="shared" si="8"/>
        <v>-0.72426499999710359</v>
      </c>
      <c r="O46">
        <f t="shared" ca="1" si="2"/>
        <v>-4.1790828507717724E-2</v>
      </c>
      <c r="P46">
        <f t="shared" ca="1" si="3"/>
        <v>-0.7415554124320447</v>
      </c>
      <c r="Q46" s="2">
        <f t="shared" si="4"/>
        <v>20714.006000000001</v>
      </c>
      <c r="S46">
        <f>G46</f>
        <v>-0.72426499999710359</v>
      </c>
    </row>
    <row r="47" spans="1:21" x14ac:dyDescent="0.2">
      <c r="A47" s="53" t="s">
        <v>181</v>
      </c>
      <c r="B47" s="54" t="s">
        <v>51</v>
      </c>
      <c r="C47" s="53">
        <v>36001.593000000001</v>
      </c>
      <c r="D47" s="53" t="s">
        <v>79</v>
      </c>
      <c r="E47" s="25">
        <f t="shared" si="0"/>
        <v>-479.00316799225953</v>
      </c>
      <c r="F47">
        <f t="shared" si="1"/>
        <v>-479</v>
      </c>
      <c r="G47" s="40">
        <f t="shared" si="7"/>
        <v>-4.8589999998512212E-2</v>
      </c>
      <c r="I47">
        <f t="shared" si="8"/>
        <v>-4.8589999998512212E-2</v>
      </c>
      <c r="O47">
        <f t="shared" ca="1" si="2"/>
        <v>-4.1654871707174801E-2</v>
      </c>
      <c r="P47">
        <f t="shared" ca="1" si="3"/>
        <v>-0.73946203535664268</v>
      </c>
      <c r="Q47" s="2">
        <f t="shared" si="4"/>
        <v>20983.093000000001</v>
      </c>
      <c r="R47">
        <f>G47</f>
        <v>-4.8589999998512212E-2</v>
      </c>
    </row>
    <row r="48" spans="1:21" x14ac:dyDescent="0.2">
      <c r="A48" s="53" t="s">
        <v>181</v>
      </c>
      <c r="B48" s="54" t="s">
        <v>42</v>
      </c>
      <c r="C48" s="53">
        <v>36008.572999999997</v>
      </c>
      <c r="D48" s="53" t="s">
        <v>79</v>
      </c>
      <c r="E48" s="25">
        <f t="shared" si="0"/>
        <v>-478.54808287243486</v>
      </c>
      <c r="F48">
        <f t="shared" si="1"/>
        <v>-478.5</v>
      </c>
      <c r="G48" s="40">
        <f t="shared" si="7"/>
        <v>-0.7374850000051083</v>
      </c>
      <c r="I48">
        <f t="shared" si="8"/>
        <v>-0.7374850000051083</v>
      </c>
      <c r="O48">
        <f t="shared" ca="1" si="2"/>
        <v>-4.1650987227159285E-2</v>
      </c>
      <c r="P48">
        <f t="shared" ca="1" si="3"/>
        <v>-0.73940222458305982</v>
      </c>
      <c r="Q48" s="2">
        <f t="shared" si="4"/>
        <v>20990.072999999997</v>
      </c>
      <c r="S48">
        <f>G48</f>
        <v>-0.7374850000051083</v>
      </c>
    </row>
    <row r="49" spans="1:33" x14ac:dyDescent="0.2">
      <c r="A49" s="53" t="s">
        <v>189</v>
      </c>
      <c r="B49" s="54" t="s">
        <v>51</v>
      </c>
      <c r="C49" s="53">
        <v>36078.375</v>
      </c>
      <c r="D49" s="53" t="s">
        <v>79</v>
      </c>
      <c r="E49" s="25">
        <f t="shared" si="0"/>
        <v>-473.99710127730259</v>
      </c>
      <c r="F49">
        <f t="shared" si="1"/>
        <v>-474</v>
      </c>
      <c r="G49" s="40">
        <f t="shared" si="7"/>
        <v>4.446000000461936E-2</v>
      </c>
      <c r="I49">
        <f t="shared" si="8"/>
        <v>4.446000000461936E-2</v>
      </c>
      <c r="O49">
        <f t="shared" ca="1" si="2"/>
        <v>-4.1616026907019682E-2</v>
      </c>
      <c r="P49">
        <f t="shared" ca="1" si="3"/>
        <v>-0.73886392762081354</v>
      </c>
      <c r="Q49" s="2">
        <f t="shared" si="4"/>
        <v>21059.875</v>
      </c>
      <c r="R49">
        <f>G49</f>
        <v>4.446000000461936E-2</v>
      </c>
    </row>
    <row r="50" spans="1:33" x14ac:dyDescent="0.2">
      <c r="A50" s="53" t="s">
        <v>91</v>
      </c>
      <c r="B50" s="54" t="s">
        <v>51</v>
      </c>
      <c r="C50" s="53">
        <v>36124.273000000001</v>
      </c>
      <c r="D50" s="53" t="s">
        <v>79</v>
      </c>
      <c r="E50" s="25">
        <f t="shared" si="0"/>
        <v>-471.00462322146791</v>
      </c>
      <c r="F50">
        <f t="shared" si="1"/>
        <v>-471</v>
      </c>
      <c r="G50" s="40">
        <f t="shared" si="7"/>
        <v>-7.0909999994910322E-2</v>
      </c>
      <c r="I50">
        <f t="shared" si="8"/>
        <v>-7.0909999994910322E-2</v>
      </c>
      <c r="O50">
        <f t="shared" ca="1" si="2"/>
        <v>-4.1592720026926606E-2</v>
      </c>
      <c r="P50">
        <f t="shared" ca="1" si="3"/>
        <v>-0.73850506297931606</v>
      </c>
      <c r="Q50" s="2">
        <f t="shared" si="4"/>
        <v>21105.773000000001</v>
      </c>
      <c r="R50">
        <f>G50</f>
        <v>-7.0909999994910322E-2</v>
      </c>
    </row>
    <row r="51" spans="1:33" x14ac:dyDescent="0.2">
      <c r="A51" s="53" t="s">
        <v>91</v>
      </c>
      <c r="B51" s="54" t="s">
        <v>42</v>
      </c>
      <c r="C51" s="53">
        <v>36361.343999999997</v>
      </c>
      <c r="D51" s="53" t="s">
        <v>79</v>
      </c>
      <c r="E51" s="25">
        <f t="shared" si="0"/>
        <v>-455.54796355928733</v>
      </c>
      <c r="F51">
        <f t="shared" si="1"/>
        <v>-455.5</v>
      </c>
      <c r="G51" s="40">
        <f t="shared" si="7"/>
        <v>-0.73565500000404427</v>
      </c>
      <c r="I51">
        <f t="shared" si="8"/>
        <v>-0.73565500000404427</v>
      </c>
      <c r="O51">
        <f t="shared" ca="1" si="2"/>
        <v>-4.1472301146445727E-2</v>
      </c>
      <c r="P51">
        <f t="shared" ca="1" si="3"/>
        <v>-0.7366509289982458</v>
      </c>
      <c r="Q51" s="2">
        <f t="shared" si="4"/>
        <v>21342.843999999997</v>
      </c>
      <c r="S51">
        <f>G51</f>
        <v>-0.73565500000404427</v>
      </c>
    </row>
    <row r="52" spans="1:33" x14ac:dyDescent="0.2">
      <c r="A52" s="53" t="s">
        <v>189</v>
      </c>
      <c r="B52" s="54" t="s">
        <v>51</v>
      </c>
      <c r="C52" s="53">
        <v>36400.468000000001</v>
      </c>
      <c r="D52" s="53" t="s">
        <v>79</v>
      </c>
      <c r="E52" s="25">
        <f t="shared" si="0"/>
        <v>-452.99713974438288</v>
      </c>
      <c r="F52">
        <f t="shared" si="1"/>
        <v>-453</v>
      </c>
      <c r="G52" s="40">
        <f t="shared" si="7"/>
        <v>4.387000000133412E-2</v>
      </c>
      <c r="I52">
        <f t="shared" si="8"/>
        <v>4.387000000133412E-2</v>
      </c>
      <c r="O52">
        <f t="shared" ca="1" si="2"/>
        <v>-4.1452878746368167E-2</v>
      </c>
      <c r="P52">
        <f t="shared" ca="1" si="3"/>
        <v>-0.73635187513033118</v>
      </c>
      <c r="Q52" s="2">
        <f t="shared" si="4"/>
        <v>21381.968000000001</v>
      </c>
      <c r="R52">
        <f>G52</f>
        <v>4.387000000133412E-2</v>
      </c>
    </row>
    <row r="53" spans="1:33" x14ac:dyDescent="0.2">
      <c r="A53" s="53" t="s">
        <v>91</v>
      </c>
      <c r="B53" s="54" t="s">
        <v>51</v>
      </c>
      <c r="C53" s="53">
        <v>36446.375999999997</v>
      </c>
      <c r="D53" s="53" t="s">
        <v>79</v>
      </c>
      <c r="E53" s="25">
        <f t="shared" ref="E53:E84" si="9">+(C53-C$7)/C$8</f>
        <v>-450.00400970413619</v>
      </c>
      <c r="F53">
        <f t="shared" ref="F53:F84" si="10">ROUND(2*E53,0)/2</f>
        <v>-450</v>
      </c>
      <c r="G53" s="40">
        <f t="shared" si="7"/>
        <v>-6.1500000003434252E-2</v>
      </c>
      <c r="I53">
        <f t="shared" si="8"/>
        <v>-6.1500000003434252E-2</v>
      </c>
      <c r="O53">
        <f t="shared" ca="1" si="2"/>
        <v>-4.1429571866275099E-2</v>
      </c>
      <c r="P53">
        <f t="shared" ref="P53:P84" ca="1" si="11">+D$11+D$12*$F53</f>
        <v>-0.7359930104888337</v>
      </c>
      <c r="Q53" s="2">
        <f t="shared" ref="Q53:Q84" si="12">+C53-15018.5</f>
        <v>21427.875999999997</v>
      </c>
      <c r="R53">
        <f>G53</f>
        <v>-6.1500000003434252E-2</v>
      </c>
    </row>
    <row r="54" spans="1:33" x14ac:dyDescent="0.2">
      <c r="A54" s="53" t="s">
        <v>181</v>
      </c>
      <c r="B54" s="54" t="s">
        <v>42</v>
      </c>
      <c r="C54" s="53">
        <v>36499.370000000003</v>
      </c>
      <c r="D54" s="53" t="s">
        <v>79</v>
      </c>
      <c r="E54" s="25">
        <f t="shared" si="9"/>
        <v>-446.54888350929286</v>
      </c>
      <c r="F54">
        <f t="shared" si="10"/>
        <v>-446.5</v>
      </c>
      <c r="G54" s="40">
        <f t="shared" si="7"/>
        <v>-0.74976499999320367</v>
      </c>
      <c r="I54">
        <f t="shared" si="8"/>
        <v>-0.74976499999320367</v>
      </c>
      <c r="O54">
        <f t="shared" ca="1" si="2"/>
        <v>-4.1402380506166514E-2</v>
      </c>
      <c r="P54">
        <f t="shared" ca="1" si="11"/>
        <v>-0.73557433507375336</v>
      </c>
      <c r="Q54" s="2">
        <f t="shared" si="12"/>
        <v>21480.870000000003</v>
      </c>
      <c r="S54">
        <f>G54</f>
        <v>-0.74976499999320367</v>
      </c>
    </row>
    <row r="55" spans="1:33" x14ac:dyDescent="0.2">
      <c r="A55" s="53" t="s">
        <v>189</v>
      </c>
      <c r="B55" s="54" t="s">
        <v>51</v>
      </c>
      <c r="C55" s="53">
        <v>37136.493000000002</v>
      </c>
      <c r="D55" s="53" t="s">
        <v>79</v>
      </c>
      <c r="E55" s="25">
        <f t="shared" si="9"/>
        <v>-405.00945703390101</v>
      </c>
      <c r="F55">
        <f t="shared" si="10"/>
        <v>-405</v>
      </c>
      <c r="G55" s="40">
        <f t="shared" si="7"/>
        <v>-0.14504999999917345</v>
      </c>
      <c r="I55">
        <f t="shared" si="8"/>
        <v>-0.14504999999917345</v>
      </c>
      <c r="O55">
        <f t="shared" ca="1" si="2"/>
        <v>-4.1079968664879007E-2</v>
      </c>
      <c r="P55">
        <f t="shared" ca="1" si="11"/>
        <v>-0.73061004086637149</v>
      </c>
      <c r="Q55" s="2">
        <f t="shared" si="12"/>
        <v>22117.993000000002</v>
      </c>
      <c r="R55">
        <f>G55</f>
        <v>-0.14504999999917345</v>
      </c>
    </row>
    <row r="56" spans="1:33" x14ac:dyDescent="0.2">
      <c r="A56" s="53" t="s">
        <v>189</v>
      </c>
      <c r="B56" s="54" t="s">
        <v>51</v>
      </c>
      <c r="C56" s="53">
        <v>37167.387000000002</v>
      </c>
      <c r="D56" s="53" t="s">
        <v>79</v>
      </c>
      <c r="E56" s="25">
        <f t="shared" si="9"/>
        <v>-402.99521639036635</v>
      </c>
      <c r="F56">
        <f t="shared" si="10"/>
        <v>-403</v>
      </c>
      <c r="G56" s="40">
        <f t="shared" si="7"/>
        <v>7.3370000005525071E-2</v>
      </c>
      <c r="I56">
        <f t="shared" si="8"/>
        <v>7.3370000005525071E-2</v>
      </c>
      <c r="O56">
        <f t="shared" ca="1" si="2"/>
        <v>-4.1064430744816957E-2</v>
      </c>
      <c r="P56">
        <f t="shared" ca="1" si="11"/>
        <v>-0.73037079777203984</v>
      </c>
      <c r="Q56" s="2">
        <f t="shared" si="12"/>
        <v>22148.887000000002</v>
      </c>
      <c r="R56">
        <f>G56</f>
        <v>7.3370000005525071E-2</v>
      </c>
    </row>
    <row r="57" spans="1:33" x14ac:dyDescent="0.2">
      <c r="A57" s="53" t="s">
        <v>189</v>
      </c>
      <c r="B57" s="54" t="s">
        <v>51</v>
      </c>
      <c r="C57" s="53">
        <v>37903.372000000003</v>
      </c>
      <c r="D57" s="53" t="s">
        <v>79</v>
      </c>
      <c r="E57" s="25">
        <f t="shared" si="9"/>
        <v>-355.01014161753398</v>
      </c>
      <c r="F57">
        <f t="shared" si="10"/>
        <v>-355</v>
      </c>
      <c r="G57" s="40">
        <f t="shared" si="7"/>
        <v>-0.15554999999585561</v>
      </c>
      <c r="I57">
        <f t="shared" si="8"/>
        <v>-0.15554999999585561</v>
      </c>
      <c r="O57">
        <f t="shared" ca="1" si="2"/>
        <v>-4.069152066332779E-2</v>
      </c>
      <c r="P57">
        <f t="shared" ca="1" si="11"/>
        <v>-0.72462896350808004</v>
      </c>
      <c r="Q57" s="2">
        <f t="shared" si="12"/>
        <v>22884.872000000003</v>
      </c>
      <c r="R57">
        <f>G57</f>
        <v>-0.15554999999585561</v>
      </c>
    </row>
    <row r="58" spans="1:33" x14ac:dyDescent="0.2">
      <c r="A58" s="53" t="s">
        <v>189</v>
      </c>
      <c r="B58" s="54" t="s">
        <v>51</v>
      </c>
      <c r="C58" s="53">
        <v>38210.451999999997</v>
      </c>
      <c r="D58" s="53" t="s">
        <v>79</v>
      </c>
      <c r="E58" s="25">
        <f t="shared" si="9"/>
        <v>-334.98900428288573</v>
      </c>
      <c r="F58">
        <f t="shared" si="10"/>
        <v>-335</v>
      </c>
      <c r="G58" s="40">
        <f t="shared" si="7"/>
        <v>0.16864999999961583</v>
      </c>
      <c r="I58">
        <f t="shared" si="8"/>
        <v>0.16864999999961583</v>
      </c>
      <c r="O58">
        <f t="shared" ca="1" si="2"/>
        <v>-4.0536141462707308E-2</v>
      </c>
      <c r="P58">
        <f t="shared" ca="1" si="11"/>
        <v>-0.7222365325647635</v>
      </c>
      <c r="Q58" s="2">
        <f t="shared" si="12"/>
        <v>23191.951999999997</v>
      </c>
      <c r="R58">
        <f>G58</f>
        <v>0.16864999999961583</v>
      </c>
    </row>
    <row r="59" spans="1:33" x14ac:dyDescent="0.2">
      <c r="A59" t="s">
        <v>22</v>
      </c>
      <c r="B59" s="5"/>
      <c r="C59" s="15">
        <v>43348.442999999999</v>
      </c>
      <c r="D59" s="15"/>
      <c r="E59">
        <f t="shared" si="9"/>
        <v>0</v>
      </c>
      <c r="F59">
        <f t="shared" si="10"/>
        <v>0</v>
      </c>
      <c r="G59" s="40">
        <f t="shared" si="7"/>
        <v>0</v>
      </c>
      <c r="I59">
        <f t="shared" si="8"/>
        <v>0</v>
      </c>
      <c r="O59">
        <f t="shared" ca="1" si="2"/>
        <v>-3.7933539852314173E-2</v>
      </c>
      <c r="P59">
        <f t="shared" ca="1" si="11"/>
        <v>-0.68216331426421117</v>
      </c>
      <c r="Q59" s="2">
        <f t="shared" si="12"/>
        <v>28329.942999999999</v>
      </c>
      <c r="AC59">
        <v>7</v>
      </c>
      <c r="AE59" t="s">
        <v>21</v>
      </c>
      <c r="AG59" t="s">
        <v>23</v>
      </c>
    </row>
    <row r="60" spans="1:33" x14ac:dyDescent="0.2">
      <c r="A60" t="s">
        <v>12</v>
      </c>
      <c r="B60" s="5"/>
      <c r="C60" s="15">
        <v>43348.442999999999</v>
      </c>
      <c r="D60" s="15" t="s">
        <v>14</v>
      </c>
      <c r="E60">
        <f t="shared" si="9"/>
        <v>0</v>
      </c>
      <c r="F60">
        <f t="shared" si="10"/>
        <v>0</v>
      </c>
      <c r="G60" s="40">
        <f t="shared" si="7"/>
        <v>0</v>
      </c>
      <c r="H60">
        <f>+G60</f>
        <v>0</v>
      </c>
      <c r="O60">
        <f ca="1">+C$11+C$12*$F60</f>
        <v>-3.7933539852314173E-2</v>
      </c>
      <c r="P60">
        <f t="shared" ca="1" si="11"/>
        <v>-0.68216331426421117</v>
      </c>
      <c r="Q60" s="2">
        <f t="shared" si="12"/>
        <v>28329.942999999999</v>
      </c>
    </row>
    <row r="61" spans="1:33" x14ac:dyDescent="0.2">
      <c r="A61" t="s">
        <v>25</v>
      </c>
      <c r="B61" s="5"/>
      <c r="C61" s="15">
        <v>44544.315000000002</v>
      </c>
      <c r="D61" s="15"/>
      <c r="E61">
        <f t="shared" si="9"/>
        <v>77.968990317379692</v>
      </c>
      <c r="F61">
        <f t="shared" si="10"/>
        <v>78</v>
      </c>
      <c r="G61" s="40">
        <f t="shared" si="7"/>
        <v>-0.47561999999743421</v>
      </c>
      <c r="I61">
        <f>+G61</f>
        <v>-0.47561999999743421</v>
      </c>
      <c r="O61">
        <f t="shared" ref="O61:O92" ca="1" si="13">+C$11+C$12*F61</f>
        <v>-3.7327560969894279E-2</v>
      </c>
      <c r="P61">
        <f t="shared" ca="1" si="11"/>
        <v>-0.67283283358527657</v>
      </c>
      <c r="Q61" s="2">
        <f t="shared" si="12"/>
        <v>29525.815000000002</v>
      </c>
      <c r="AA61" t="s">
        <v>24</v>
      </c>
      <c r="AG61" t="s">
        <v>26</v>
      </c>
    </row>
    <row r="62" spans="1:33" x14ac:dyDescent="0.2">
      <c r="A62" t="s">
        <v>28</v>
      </c>
      <c r="B62" s="5"/>
      <c r="C62" s="15">
        <v>44882.212699999996</v>
      </c>
      <c r="D62" s="15"/>
      <c r="E62">
        <f t="shared" si="9"/>
        <v>99.999393654496316</v>
      </c>
      <c r="F62">
        <f t="shared" si="10"/>
        <v>100</v>
      </c>
      <c r="G62" s="40">
        <f t="shared" si="7"/>
        <v>-9.3000000051688403E-3</v>
      </c>
      <c r="J62">
        <f>+G62</f>
        <v>-9.3000000051688403E-3</v>
      </c>
      <c r="O62">
        <f t="shared" ca="1" si="13"/>
        <v>-3.7156643849211746E-2</v>
      </c>
      <c r="P62">
        <f t="shared" ca="1" si="11"/>
        <v>-0.67020115954762838</v>
      </c>
      <c r="Q62" s="2">
        <f t="shared" si="12"/>
        <v>29863.712699999996</v>
      </c>
      <c r="R62">
        <f>G62</f>
        <v>-9.3000000051688403E-3</v>
      </c>
      <c r="AA62" t="s">
        <v>27</v>
      </c>
      <c r="AG62" t="s">
        <v>26</v>
      </c>
    </row>
    <row r="63" spans="1:33" x14ac:dyDescent="0.2">
      <c r="A63" t="s">
        <v>28</v>
      </c>
      <c r="B63" s="5" t="s">
        <v>42</v>
      </c>
      <c r="C63" s="15">
        <v>44889.2192</v>
      </c>
      <c r="D63" s="15"/>
      <c r="E63">
        <f t="shared" si="9"/>
        <v>100.45620653301422</v>
      </c>
      <c r="F63">
        <f t="shared" si="10"/>
        <v>100.5</v>
      </c>
      <c r="G63" s="40">
        <f t="shared" si="7"/>
        <v>-0.67169499999727122</v>
      </c>
      <c r="J63">
        <f>+G63</f>
        <v>-0.67169499999727122</v>
      </c>
      <c r="O63">
        <f t="shared" ca="1" si="13"/>
        <v>-3.7152759369196237E-2</v>
      </c>
      <c r="P63">
        <f t="shared" ca="1" si="11"/>
        <v>-0.67014134877404552</v>
      </c>
      <c r="Q63" s="2">
        <f t="shared" si="12"/>
        <v>29870.7192</v>
      </c>
      <c r="S63">
        <f>G63</f>
        <v>-0.67169499999727122</v>
      </c>
      <c r="AA63" t="s">
        <v>27</v>
      </c>
      <c r="AG63" t="s">
        <v>26</v>
      </c>
    </row>
    <row r="64" spans="1:33" x14ac:dyDescent="0.2">
      <c r="A64" t="s">
        <v>29</v>
      </c>
      <c r="B64" s="5"/>
      <c r="C64" s="15">
        <v>46998.842400000001</v>
      </c>
      <c r="D64" s="15"/>
      <c r="E64">
        <f t="shared" si="9"/>
        <v>238.00035076761398</v>
      </c>
      <c r="F64">
        <f t="shared" si="10"/>
        <v>238</v>
      </c>
      <c r="G64" s="40">
        <f t="shared" si="7"/>
        <v>5.380000002332963E-3</v>
      </c>
      <c r="I64">
        <f>+G64</f>
        <v>5.380000002332963E-3</v>
      </c>
      <c r="O64">
        <f t="shared" ca="1" si="13"/>
        <v>-3.6084527364930397E-2</v>
      </c>
      <c r="P64">
        <f t="shared" ca="1" si="11"/>
        <v>-0.65369338603874416</v>
      </c>
      <c r="Q64" s="2">
        <f t="shared" si="12"/>
        <v>31980.342400000001</v>
      </c>
      <c r="R64">
        <f>G64</f>
        <v>5.380000002332963E-3</v>
      </c>
      <c r="AA64" t="s">
        <v>27</v>
      </c>
      <c r="AG64" t="s">
        <v>26</v>
      </c>
    </row>
    <row r="65" spans="1:33" x14ac:dyDescent="0.2">
      <c r="A65" s="53" t="s">
        <v>239</v>
      </c>
      <c r="B65" s="54" t="s">
        <v>42</v>
      </c>
      <c r="C65" s="53">
        <v>48616.34</v>
      </c>
      <c r="D65" s="53" t="s">
        <v>79</v>
      </c>
      <c r="E65" s="25">
        <f t="shared" si="9"/>
        <v>343.45867299004595</v>
      </c>
      <c r="F65">
        <f t="shared" si="10"/>
        <v>343.5</v>
      </c>
      <c r="G65" s="40">
        <f t="shared" si="7"/>
        <v>-0.63386500000342494</v>
      </c>
      <c r="I65">
        <f>+G65</f>
        <v>-0.63386500000342494</v>
      </c>
      <c r="O65">
        <f t="shared" ca="1" si="13"/>
        <v>-3.5264902081657334E-2</v>
      </c>
      <c r="P65">
        <f t="shared" ca="1" si="11"/>
        <v>-0.64107331281274926</v>
      </c>
      <c r="Q65" s="2">
        <f t="shared" si="12"/>
        <v>33597.839999999997</v>
      </c>
      <c r="S65">
        <f>G65</f>
        <v>-0.63386500000342494</v>
      </c>
    </row>
    <row r="66" spans="1:33" x14ac:dyDescent="0.2">
      <c r="A66" t="s">
        <v>30</v>
      </c>
      <c r="B66" s="5"/>
      <c r="C66" s="15">
        <v>48839.387000000002</v>
      </c>
      <c r="D66" s="15">
        <v>3.0000000000000001E-3</v>
      </c>
      <c r="E66">
        <f t="shared" si="9"/>
        <v>358.00098971233814</v>
      </c>
      <c r="F66">
        <f t="shared" si="10"/>
        <v>358</v>
      </c>
      <c r="G66" s="40">
        <f t="shared" si="7"/>
        <v>1.5180000002146699E-2</v>
      </c>
      <c r="I66">
        <f>+G66</f>
        <v>1.5180000002146699E-2</v>
      </c>
      <c r="O66">
        <f t="shared" ca="1" si="13"/>
        <v>-3.515225216120748E-2</v>
      </c>
      <c r="P66">
        <f t="shared" ca="1" si="11"/>
        <v>-0.63933880037884483</v>
      </c>
      <c r="Q66" s="2">
        <f t="shared" si="12"/>
        <v>33820.887000000002</v>
      </c>
      <c r="R66">
        <f>G66</f>
        <v>1.5180000002146699E-2</v>
      </c>
      <c r="AA66" t="s">
        <v>27</v>
      </c>
      <c r="AB66" t="s">
        <v>23</v>
      </c>
      <c r="AC66">
        <v>22</v>
      </c>
      <c r="AE66" t="s">
        <v>21</v>
      </c>
      <c r="AG66" t="s">
        <v>23</v>
      </c>
    </row>
    <row r="67" spans="1:33" x14ac:dyDescent="0.2">
      <c r="A67" t="s">
        <v>32</v>
      </c>
      <c r="B67" s="5" t="s">
        <v>42</v>
      </c>
      <c r="C67" s="15">
        <v>49168.494700000003</v>
      </c>
      <c r="D67" s="15"/>
      <c r="E67">
        <f t="shared" si="9"/>
        <v>379.45829875099372</v>
      </c>
      <c r="F67">
        <f t="shared" si="10"/>
        <v>379.5</v>
      </c>
      <c r="G67" s="40">
        <f t="shared" ref="G67:G92" si="14">+C67-(C$7+F67*C$8)</f>
        <v>-0.63960499999666354</v>
      </c>
      <c r="J67">
        <f>+G67</f>
        <v>-0.63960499999666354</v>
      </c>
      <c r="O67">
        <f t="shared" ca="1" si="13"/>
        <v>-3.4985219520540463E-2</v>
      </c>
      <c r="P67">
        <f t="shared" ca="1" si="11"/>
        <v>-0.6367669371147795</v>
      </c>
      <c r="Q67" s="2">
        <f t="shared" si="12"/>
        <v>34149.994700000003</v>
      </c>
      <c r="S67">
        <f>G67</f>
        <v>-0.63960499999666354</v>
      </c>
      <c r="AA67" t="s">
        <v>27</v>
      </c>
      <c r="AB67" t="s">
        <v>31</v>
      </c>
      <c r="AG67" t="s">
        <v>26</v>
      </c>
    </row>
    <row r="68" spans="1:33" x14ac:dyDescent="0.2">
      <c r="A68" t="s">
        <v>32</v>
      </c>
      <c r="B68" s="5" t="s">
        <v>42</v>
      </c>
      <c r="C68" s="15">
        <v>49168.495499999997</v>
      </c>
      <c r="D68" s="15"/>
      <c r="E68">
        <f t="shared" si="9"/>
        <v>379.45835090974634</v>
      </c>
      <c r="F68">
        <f t="shared" si="10"/>
        <v>379.5</v>
      </c>
      <c r="G68" s="40">
        <f t="shared" si="14"/>
        <v>-0.63880500000232132</v>
      </c>
      <c r="J68">
        <f>+G68</f>
        <v>-0.63880500000232132</v>
      </c>
      <c r="O68">
        <f t="shared" ca="1" si="13"/>
        <v>-3.4985219520540463E-2</v>
      </c>
      <c r="P68">
        <f t="shared" ca="1" si="11"/>
        <v>-0.6367669371147795</v>
      </c>
      <c r="Q68" s="2">
        <f t="shared" si="12"/>
        <v>34149.995499999997</v>
      </c>
      <c r="S68">
        <f>G68</f>
        <v>-0.63880500000232132</v>
      </c>
      <c r="AA68" t="s">
        <v>27</v>
      </c>
      <c r="AB68" t="s">
        <v>23</v>
      </c>
      <c r="AG68" t="s">
        <v>26</v>
      </c>
    </row>
    <row r="69" spans="1:33" x14ac:dyDescent="0.2">
      <c r="A69" t="s">
        <v>33</v>
      </c>
      <c r="B69" s="5"/>
      <c r="C69" s="15">
        <v>49560.266799999998</v>
      </c>
      <c r="D69" s="15"/>
      <c r="E69">
        <f t="shared" si="9"/>
        <v>405.00122899061716</v>
      </c>
      <c r="F69">
        <f t="shared" si="10"/>
        <v>405</v>
      </c>
      <c r="G69" s="40">
        <f t="shared" si="14"/>
        <v>1.8850000000384171E-2</v>
      </c>
      <c r="I69">
        <f>+G69</f>
        <v>1.8850000000384171E-2</v>
      </c>
      <c r="O69">
        <f t="shared" ca="1" si="13"/>
        <v>-3.4787111039749338E-2</v>
      </c>
      <c r="P69">
        <f t="shared" ca="1" si="11"/>
        <v>-0.63371658766205086</v>
      </c>
      <c r="Q69" s="2">
        <f t="shared" si="12"/>
        <v>34541.766799999998</v>
      </c>
      <c r="R69">
        <f>G69</f>
        <v>1.8850000000384171E-2</v>
      </c>
      <c r="AA69" t="s">
        <v>27</v>
      </c>
      <c r="AG69" t="s">
        <v>26</v>
      </c>
    </row>
    <row r="70" spans="1:33" x14ac:dyDescent="0.2">
      <c r="A70" t="s">
        <v>28</v>
      </c>
      <c r="B70" s="5" t="s">
        <v>42</v>
      </c>
      <c r="C70" s="15">
        <v>49889.377</v>
      </c>
      <c r="D70" s="15"/>
      <c r="E70">
        <f t="shared" si="9"/>
        <v>426.45870102537594</v>
      </c>
      <c r="F70">
        <f t="shared" si="10"/>
        <v>426.5</v>
      </c>
      <c r="G70" s="40">
        <f t="shared" si="14"/>
        <v>-0.63343499999609776</v>
      </c>
      <c r="J70">
        <f t="shared" ref="J70:J75" si="15">+G70</f>
        <v>-0.63343499999609776</v>
      </c>
      <c r="O70">
        <f t="shared" ca="1" si="13"/>
        <v>-3.4620078399082321E-2</v>
      </c>
      <c r="P70">
        <f t="shared" ca="1" si="11"/>
        <v>-0.63114472439798563</v>
      </c>
      <c r="Q70" s="2">
        <f t="shared" si="12"/>
        <v>34870.877</v>
      </c>
      <c r="S70">
        <f t="shared" ref="S70:S75" si="16">G70</f>
        <v>-0.63343499999609776</v>
      </c>
      <c r="AA70" t="s">
        <v>27</v>
      </c>
      <c r="AG70" t="s">
        <v>26</v>
      </c>
    </row>
    <row r="71" spans="1:33" x14ac:dyDescent="0.2">
      <c r="A71" t="s">
        <v>34</v>
      </c>
      <c r="B71" s="5" t="s">
        <v>42</v>
      </c>
      <c r="C71" s="15">
        <v>49904.714500000002</v>
      </c>
      <c r="D71" s="15"/>
      <c r="E71">
        <f t="shared" si="9"/>
        <v>427.45868211782812</v>
      </c>
      <c r="F71">
        <f t="shared" si="10"/>
        <v>427.5</v>
      </c>
      <c r="G71" s="40">
        <f t="shared" si="14"/>
        <v>-0.63372499999968568</v>
      </c>
      <c r="J71">
        <f t="shared" si="15"/>
        <v>-0.63372499999968568</v>
      </c>
      <c r="O71">
        <f t="shared" ca="1" si="13"/>
        <v>-3.4612309439051296E-2</v>
      </c>
      <c r="P71">
        <f t="shared" ca="1" si="11"/>
        <v>-0.63102510285081981</v>
      </c>
      <c r="Q71" s="2">
        <f t="shared" si="12"/>
        <v>34886.214500000002</v>
      </c>
      <c r="S71">
        <f t="shared" si="16"/>
        <v>-0.63372499999968568</v>
      </c>
      <c r="AA71" t="s">
        <v>27</v>
      </c>
      <c r="AG71" t="s">
        <v>26</v>
      </c>
    </row>
    <row r="72" spans="1:33" x14ac:dyDescent="0.2">
      <c r="A72" t="s">
        <v>36</v>
      </c>
      <c r="B72" s="5" t="s">
        <v>42</v>
      </c>
      <c r="C72" s="15">
        <v>49935.391100000001</v>
      </c>
      <c r="D72" s="15"/>
      <c r="E72">
        <f t="shared" si="9"/>
        <v>429.45874862023805</v>
      </c>
      <c r="F72">
        <f t="shared" si="10"/>
        <v>429.5</v>
      </c>
      <c r="G72" s="40">
        <f t="shared" si="14"/>
        <v>-0.63270499999634922</v>
      </c>
      <c r="J72">
        <f t="shared" si="15"/>
        <v>-0.63270499999634922</v>
      </c>
      <c r="O72">
        <f t="shared" ca="1" si="13"/>
        <v>-3.4596771518989246E-2</v>
      </c>
      <c r="P72">
        <f t="shared" ca="1" si="11"/>
        <v>-0.63078585975648815</v>
      </c>
      <c r="Q72" s="2">
        <f t="shared" si="12"/>
        <v>34916.891100000001</v>
      </c>
      <c r="S72">
        <f t="shared" si="16"/>
        <v>-0.63270499999634922</v>
      </c>
      <c r="AA72" t="s">
        <v>35</v>
      </c>
      <c r="AG72" t="s">
        <v>26</v>
      </c>
    </row>
    <row r="73" spans="1:33" x14ac:dyDescent="0.2">
      <c r="A73" t="s">
        <v>36</v>
      </c>
      <c r="B73" s="5" t="s">
        <v>42</v>
      </c>
      <c r="C73" s="15">
        <v>49935.391100000001</v>
      </c>
      <c r="D73" s="15">
        <v>5.9999999999999995E-4</v>
      </c>
      <c r="E73">
        <f t="shared" si="9"/>
        <v>429.45874862023805</v>
      </c>
      <c r="F73">
        <f t="shared" si="10"/>
        <v>429.5</v>
      </c>
      <c r="G73" s="40">
        <f t="shared" si="14"/>
        <v>-0.63270499999634922</v>
      </c>
      <c r="J73">
        <f t="shared" si="15"/>
        <v>-0.63270499999634922</v>
      </c>
      <c r="O73">
        <f t="shared" ca="1" si="13"/>
        <v>-3.4596771518989246E-2</v>
      </c>
      <c r="P73">
        <f t="shared" ca="1" si="11"/>
        <v>-0.63078585975648815</v>
      </c>
      <c r="Q73" s="2">
        <f t="shared" si="12"/>
        <v>34916.891100000001</v>
      </c>
      <c r="S73">
        <f t="shared" si="16"/>
        <v>-0.63270499999634922</v>
      </c>
    </row>
    <row r="74" spans="1:33" x14ac:dyDescent="0.2">
      <c r="A74" s="53" t="s">
        <v>277</v>
      </c>
      <c r="B74" s="54" t="s">
        <v>42</v>
      </c>
      <c r="C74" s="53">
        <v>49935.393700000001</v>
      </c>
      <c r="D74" s="53" t="s">
        <v>79</v>
      </c>
      <c r="E74" s="25">
        <f t="shared" si="9"/>
        <v>429.45891813618528</v>
      </c>
      <c r="F74">
        <f t="shared" si="10"/>
        <v>429.5</v>
      </c>
      <c r="G74" s="40">
        <f t="shared" si="14"/>
        <v>-0.63010499999654712</v>
      </c>
      <c r="J74">
        <f t="shared" si="15"/>
        <v>-0.63010499999654712</v>
      </c>
      <c r="O74">
        <f t="shared" ca="1" si="13"/>
        <v>-3.4596771518989246E-2</v>
      </c>
      <c r="P74">
        <f t="shared" ca="1" si="11"/>
        <v>-0.63078585975648815</v>
      </c>
      <c r="Q74" s="2">
        <f t="shared" si="12"/>
        <v>34916.893700000001</v>
      </c>
      <c r="S74">
        <f t="shared" si="16"/>
        <v>-0.63010499999654712</v>
      </c>
    </row>
    <row r="75" spans="1:33" x14ac:dyDescent="0.2">
      <c r="A75" t="s">
        <v>37</v>
      </c>
      <c r="B75" s="5" t="s">
        <v>42</v>
      </c>
      <c r="C75" s="15">
        <v>49935.397400000002</v>
      </c>
      <c r="D75" s="15">
        <v>1.1999999999999999E-3</v>
      </c>
      <c r="E75">
        <f t="shared" si="9"/>
        <v>429.45915937041792</v>
      </c>
      <c r="F75">
        <f t="shared" si="10"/>
        <v>429.5</v>
      </c>
      <c r="G75" s="40">
        <f t="shared" si="14"/>
        <v>-0.62640499999542953</v>
      </c>
      <c r="J75">
        <f t="shared" si="15"/>
        <v>-0.62640499999542953</v>
      </c>
      <c r="O75">
        <f t="shared" ca="1" si="13"/>
        <v>-3.4596771518989246E-2</v>
      </c>
      <c r="P75">
        <f t="shared" ca="1" si="11"/>
        <v>-0.63078585975648815</v>
      </c>
      <c r="Q75" s="2">
        <f t="shared" si="12"/>
        <v>34916.897400000002</v>
      </c>
      <c r="S75">
        <f t="shared" si="16"/>
        <v>-0.62640499999542953</v>
      </c>
      <c r="AA75" t="s">
        <v>27</v>
      </c>
      <c r="AC75">
        <v>11</v>
      </c>
      <c r="AE75" t="s">
        <v>21</v>
      </c>
      <c r="AG75" t="s">
        <v>23</v>
      </c>
    </row>
    <row r="76" spans="1:33" x14ac:dyDescent="0.2">
      <c r="A76" t="s">
        <v>38</v>
      </c>
      <c r="B76" s="5"/>
      <c r="C76" s="15">
        <v>50296.49</v>
      </c>
      <c r="D76" s="15">
        <v>1.8E-3</v>
      </c>
      <c r="E76">
        <f t="shared" si="9"/>
        <v>453.00183403215186</v>
      </c>
      <c r="F76">
        <f t="shared" si="10"/>
        <v>453</v>
      </c>
      <c r="G76" s="40">
        <f t="shared" si="14"/>
        <v>2.8129999998782296E-2</v>
      </c>
      <c r="I76">
        <f>+G76</f>
        <v>2.8129999998782296E-2</v>
      </c>
      <c r="O76">
        <f t="shared" ca="1" si="13"/>
        <v>-3.4414200958260178E-2</v>
      </c>
      <c r="P76">
        <f t="shared" ca="1" si="11"/>
        <v>-0.62797475339809117</v>
      </c>
      <c r="Q76" s="2">
        <f t="shared" si="12"/>
        <v>35277.99</v>
      </c>
      <c r="R76">
        <f>G76</f>
        <v>2.8129999998782296E-2</v>
      </c>
      <c r="AC76">
        <v>24</v>
      </c>
      <c r="AE76" t="s">
        <v>21</v>
      </c>
      <c r="AG76" t="s">
        <v>23</v>
      </c>
    </row>
    <row r="77" spans="1:33" x14ac:dyDescent="0.2">
      <c r="A77" t="s">
        <v>38</v>
      </c>
      <c r="B77" s="5"/>
      <c r="C77" s="15">
        <v>50296.490599999997</v>
      </c>
      <c r="D77" s="15">
        <v>1.8E-3</v>
      </c>
      <c r="E77">
        <f t="shared" si="9"/>
        <v>453.00187315121656</v>
      </c>
      <c r="F77">
        <f t="shared" si="10"/>
        <v>453</v>
      </c>
      <c r="G77" s="40">
        <f t="shared" si="14"/>
        <v>2.8729999998176936E-2</v>
      </c>
      <c r="J77">
        <f>+G77</f>
        <v>2.8729999998176936E-2</v>
      </c>
      <c r="O77">
        <f t="shared" ca="1" si="13"/>
        <v>-3.4414200958260178E-2</v>
      </c>
      <c r="P77">
        <f t="shared" ca="1" si="11"/>
        <v>-0.62797475339809117</v>
      </c>
      <c r="Q77" s="2">
        <f t="shared" si="12"/>
        <v>35277.990599999997</v>
      </c>
      <c r="R77">
        <f>G77</f>
        <v>2.8729999998176936E-2</v>
      </c>
      <c r="AA77" t="s">
        <v>35</v>
      </c>
      <c r="AC77">
        <v>24</v>
      </c>
      <c r="AE77" t="s">
        <v>21</v>
      </c>
      <c r="AG77" t="s">
        <v>23</v>
      </c>
    </row>
    <row r="78" spans="1:33" x14ac:dyDescent="0.2">
      <c r="A78" s="25" t="s">
        <v>39</v>
      </c>
      <c r="B78" s="26" t="s">
        <v>42</v>
      </c>
      <c r="C78" s="27">
        <v>51070.396699999998</v>
      </c>
      <c r="D78" s="27"/>
      <c r="E78" s="25">
        <f t="shared" si="9"/>
        <v>503.45934453399076</v>
      </c>
      <c r="F78">
        <f t="shared" si="10"/>
        <v>503.5</v>
      </c>
      <c r="G78" s="40">
        <f t="shared" si="14"/>
        <v>-0.62356500000169035</v>
      </c>
      <c r="I78">
        <f>+G78</f>
        <v>-0.62356500000169035</v>
      </c>
      <c r="O78">
        <f t="shared" ca="1" si="13"/>
        <v>-3.4021868476693452E-2</v>
      </c>
      <c r="P78">
        <f t="shared" ca="1" si="11"/>
        <v>-0.62193386526621686</v>
      </c>
      <c r="Q78" s="2">
        <f t="shared" si="12"/>
        <v>36051.896699999998</v>
      </c>
      <c r="S78">
        <f>G78</f>
        <v>-0.62356500000169035</v>
      </c>
      <c r="AA78" t="s">
        <v>27</v>
      </c>
      <c r="AG78" t="s">
        <v>26</v>
      </c>
    </row>
    <row r="79" spans="1:33" x14ac:dyDescent="0.2">
      <c r="A79" s="25" t="s">
        <v>39</v>
      </c>
      <c r="B79" s="26"/>
      <c r="C79" s="27">
        <v>51109.391799999998</v>
      </c>
      <c r="D79" s="27"/>
      <c r="E79" s="25">
        <f t="shared" si="9"/>
        <v>506.00176426981972</v>
      </c>
      <c r="F79">
        <f t="shared" si="10"/>
        <v>506</v>
      </c>
      <c r="G79" s="40">
        <f t="shared" si="14"/>
        <v>2.7060000000346918E-2</v>
      </c>
      <c r="I79">
        <f>+G79</f>
        <v>2.7060000000346918E-2</v>
      </c>
      <c r="O79">
        <f t="shared" ca="1" si="13"/>
        <v>-3.4002446076615893E-2</v>
      </c>
      <c r="P79">
        <f t="shared" ca="1" si="11"/>
        <v>-0.62163481139830223</v>
      </c>
      <c r="Q79" s="2">
        <f t="shared" si="12"/>
        <v>36090.891799999998</v>
      </c>
      <c r="R79">
        <f>G79</f>
        <v>2.7060000000346918E-2</v>
      </c>
      <c r="AA79" t="s">
        <v>27</v>
      </c>
      <c r="AG79" t="s">
        <v>26</v>
      </c>
    </row>
    <row r="80" spans="1:33" x14ac:dyDescent="0.2">
      <c r="A80" s="25" t="s">
        <v>41</v>
      </c>
      <c r="B80" s="26"/>
      <c r="C80" s="27">
        <v>51385.474000000002</v>
      </c>
      <c r="D80" s="27">
        <v>6.9999999999999999E-4</v>
      </c>
      <c r="E80" s="25">
        <f t="shared" si="9"/>
        <v>524.00189336273365</v>
      </c>
      <c r="F80">
        <f t="shared" si="10"/>
        <v>524</v>
      </c>
      <c r="G80" s="40">
        <f t="shared" si="14"/>
        <v>2.9040000001259614E-2</v>
      </c>
      <c r="I80">
        <f>+G80</f>
        <v>2.9040000001259614E-2</v>
      </c>
      <c r="O80">
        <f t="shared" ca="1" si="13"/>
        <v>-3.3862604796057454E-2</v>
      </c>
      <c r="P80">
        <f t="shared" ca="1" si="11"/>
        <v>-0.61948162354931735</v>
      </c>
      <c r="Q80" s="2">
        <f t="shared" si="12"/>
        <v>36366.974000000002</v>
      </c>
      <c r="R80">
        <f>G80</f>
        <v>2.9040000001259614E-2</v>
      </c>
      <c r="AA80" t="s">
        <v>35</v>
      </c>
      <c r="AC80">
        <v>20</v>
      </c>
      <c r="AE80" t="s">
        <v>40</v>
      </c>
      <c r="AG80" t="s">
        <v>26</v>
      </c>
    </row>
    <row r="81" spans="1:19" x14ac:dyDescent="0.2">
      <c r="A81" s="28" t="s">
        <v>50</v>
      </c>
      <c r="B81" s="26" t="s">
        <v>51</v>
      </c>
      <c r="C81" s="27">
        <v>53578.791100000002</v>
      </c>
      <c r="D81" s="27">
        <v>1E-4</v>
      </c>
      <c r="E81" s="25">
        <f t="shared" si="9"/>
        <v>667.00274941826706</v>
      </c>
      <c r="F81">
        <f t="shared" si="10"/>
        <v>667</v>
      </c>
      <c r="G81" s="40">
        <f t="shared" si="14"/>
        <v>4.2170000000623986E-2</v>
      </c>
      <c r="J81">
        <f>+G81</f>
        <v>4.2170000000623986E-2</v>
      </c>
      <c r="O81">
        <f t="shared" ca="1" si="13"/>
        <v>-3.2751643511620979E-2</v>
      </c>
      <c r="P81">
        <f t="shared" ca="1" si="11"/>
        <v>-0.602375742304604</v>
      </c>
      <c r="Q81" s="2">
        <f t="shared" si="12"/>
        <v>38560.291100000002</v>
      </c>
      <c r="R81">
        <f>G81</f>
        <v>4.2170000000623986E-2</v>
      </c>
    </row>
    <row r="82" spans="1:19" x14ac:dyDescent="0.2">
      <c r="A82" s="27" t="s">
        <v>56</v>
      </c>
      <c r="B82" s="26" t="s">
        <v>42</v>
      </c>
      <c r="C82" s="27">
        <v>53846.554859999997</v>
      </c>
      <c r="D82" s="27">
        <v>6.9999999999999999E-4</v>
      </c>
      <c r="E82" s="25">
        <f t="shared" si="9"/>
        <v>684.46052918966791</v>
      </c>
      <c r="F82">
        <f t="shared" si="10"/>
        <v>684.5</v>
      </c>
      <c r="G82" s="40">
        <f t="shared" si="14"/>
        <v>-0.60539499999867985</v>
      </c>
      <c r="J82">
        <f>+G82</f>
        <v>-0.60539499999867985</v>
      </c>
      <c r="O82">
        <f t="shared" ca="1" si="13"/>
        <v>-3.2615686711078055E-2</v>
      </c>
      <c r="P82">
        <f t="shared" ca="1" si="11"/>
        <v>-0.60028236522920198</v>
      </c>
      <c r="Q82" s="2">
        <f t="shared" si="12"/>
        <v>38828.054859999997</v>
      </c>
      <c r="S82">
        <f>G82</f>
        <v>-0.60539499999867985</v>
      </c>
    </row>
    <row r="83" spans="1:19" x14ac:dyDescent="0.2">
      <c r="A83" s="27" t="s">
        <v>57</v>
      </c>
      <c r="B83" s="26" t="s">
        <v>42</v>
      </c>
      <c r="C83" s="27">
        <v>54659.467420000001</v>
      </c>
      <c r="D83" s="27">
        <v>2.0000000000000001E-4</v>
      </c>
      <c r="E83" s="25">
        <f t="shared" si="9"/>
        <v>737.46116096256378</v>
      </c>
      <c r="F83">
        <f t="shared" si="10"/>
        <v>737.5</v>
      </c>
      <c r="G83" s="40">
        <f t="shared" si="14"/>
        <v>-0.59570499999972526</v>
      </c>
      <c r="J83">
        <f>+G83</f>
        <v>-0.59570499999972526</v>
      </c>
      <c r="O83">
        <f t="shared" ca="1" si="13"/>
        <v>-3.220393182943377E-2</v>
      </c>
      <c r="P83">
        <f t="shared" ca="1" si="11"/>
        <v>-0.59394242322941315</v>
      </c>
      <c r="Q83" s="2">
        <f t="shared" si="12"/>
        <v>39640.967420000001</v>
      </c>
      <c r="S83">
        <f>G83</f>
        <v>-0.59570499999972526</v>
      </c>
    </row>
    <row r="84" spans="1:19" x14ac:dyDescent="0.2">
      <c r="A84" s="27" t="s">
        <v>57</v>
      </c>
      <c r="B84" s="26" t="s">
        <v>42</v>
      </c>
      <c r="C84" s="27">
        <v>54659.467620000003</v>
      </c>
      <c r="D84" s="27">
        <v>2.0000000000000001E-4</v>
      </c>
      <c r="E84" s="25">
        <f t="shared" si="9"/>
        <v>737.46117400225216</v>
      </c>
      <c r="F84">
        <f t="shared" si="10"/>
        <v>737.5</v>
      </c>
      <c r="G84" s="40">
        <f t="shared" si="14"/>
        <v>-0.59550499999750173</v>
      </c>
      <c r="J84">
        <f>+G84</f>
        <v>-0.59550499999750173</v>
      </c>
      <c r="O84">
        <f t="shared" ca="1" si="13"/>
        <v>-3.220393182943377E-2</v>
      </c>
      <c r="P84">
        <f t="shared" ca="1" si="11"/>
        <v>-0.59394242322941315</v>
      </c>
      <c r="Q84" s="2">
        <f t="shared" si="12"/>
        <v>39640.967620000003</v>
      </c>
      <c r="S84">
        <f>G84</f>
        <v>-0.59550499999750173</v>
      </c>
    </row>
    <row r="85" spans="1:19" x14ac:dyDescent="0.2">
      <c r="A85" s="53" t="s">
        <v>316</v>
      </c>
      <c r="B85" s="54" t="s">
        <v>51</v>
      </c>
      <c r="C85" s="53">
        <v>55066.574000000001</v>
      </c>
      <c r="D85" s="53" t="s">
        <v>79</v>
      </c>
      <c r="E85" s="25">
        <f t="shared" ref="E85:E92" si="17">+(C85-C$7)/C$8</f>
        <v>764.00387539534711</v>
      </c>
      <c r="F85">
        <f t="shared" ref="F85:F94" si="18">ROUND(2*E85,0)/2</f>
        <v>764</v>
      </c>
      <c r="G85" s="40">
        <f t="shared" si="14"/>
        <v>5.9440000004542526E-2</v>
      </c>
      <c r="I85">
        <f>+G85</f>
        <v>5.9440000004542526E-2</v>
      </c>
      <c r="O85">
        <f t="shared" ca="1" si="13"/>
        <v>-3.1998054388611627E-2</v>
      </c>
      <c r="P85">
        <f t="shared" ref="P85:P92" ca="1" si="19">+D$11+D$12*$F85</f>
        <v>-0.59077245222951869</v>
      </c>
      <c r="Q85" s="2">
        <f t="shared" ref="Q85:Q92" si="20">+C85-15018.5</f>
        <v>40048.074000000001</v>
      </c>
      <c r="R85">
        <f>G85</f>
        <v>5.9440000004542526E-2</v>
      </c>
    </row>
    <row r="86" spans="1:19" x14ac:dyDescent="0.2">
      <c r="A86" s="28" t="s">
        <v>60</v>
      </c>
      <c r="B86" s="26" t="s">
        <v>51</v>
      </c>
      <c r="C86" s="27">
        <v>55741.428979999997</v>
      </c>
      <c r="D86" s="27">
        <v>6.9999999999999999E-4</v>
      </c>
      <c r="E86" s="25">
        <f t="shared" si="17"/>
        <v>808.00336815147409</v>
      </c>
      <c r="F86">
        <f t="shared" si="18"/>
        <v>808</v>
      </c>
      <c r="G86" s="40">
        <f t="shared" si="14"/>
        <v>5.1659999997355044E-2</v>
      </c>
      <c r="J86">
        <f>+G86</f>
        <v>5.1659999997355044E-2</v>
      </c>
      <c r="O86">
        <f t="shared" ca="1" si="13"/>
        <v>-3.1656220147246561E-2</v>
      </c>
      <c r="P86">
        <f t="shared" ca="1" si="19"/>
        <v>-0.5855091041542223</v>
      </c>
      <c r="Q86" s="2">
        <f t="shared" si="20"/>
        <v>40722.928979999997</v>
      </c>
      <c r="R86">
        <f>G86</f>
        <v>5.1659999997355044E-2</v>
      </c>
    </row>
    <row r="87" spans="1:19" x14ac:dyDescent="0.2">
      <c r="A87" s="29" t="s">
        <v>58</v>
      </c>
      <c r="B87" s="30" t="s">
        <v>51</v>
      </c>
      <c r="C87" s="29">
        <v>55741.429900000003</v>
      </c>
      <c r="D87" s="29">
        <v>6.4000000000000003E-3</v>
      </c>
      <c r="E87" s="25">
        <f t="shared" si="17"/>
        <v>808.0034281340404</v>
      </c>
      <c r="F87">
        <f t="shared" si="18"/>
        <v>808</v>
      </c>
      <c r="G87" s="40">
        <f t="shared" si="14"/>
        <v>5.2580000003217719E-2</v>
      </c>
      <c r="I87">
        <f>+G87</f>
        <v>5.2580000003217719E-2</v>
      </c>
      <c r="O87">
        <f t="shared" ca="1" si="13"/>
        <v>-3.1656220147246561E-2</v>
      </c>
      <c r="P87">
        <f t="shared" ca="1" si="19"/>
        <v>-0.5855091041542223</v>
      </c>
      <c r="Q87" s="2">
        <f t="shared" si="20"/>
        <v>40722.929900000003</v>
      </c>
      <c r="R87">
        <f>G87</f>
        <v>5.2580000003217719E-2</v>
      </c>
    </row>
    <row r="88" spans="1:19" x14ac:dyDescent="0.2">
      <c r="A88" s="28" t="s">
        <v>60</v>
      </c>
      <c r="B88" s="26" t="s">
        <v>51</v>
      </c>
      <c r="C88" s="27">
        <v>55741.430110000001</v>
      </c>
      <c r="D88" s="27">
        <v>1E-3</v>
      </c>
      <c r="E88" s="25">
        <f t="shared" si="17"/>
        <v>808.00344182571291</v>
      </c>
      <c r="F88">
        <f t="shared" si="18"/>
        <v>808</v>
      </c>
      <c r="G88" s="40">
        <f t="shared" si="14"/>
        <v>5.2790000001550652E-2</v>
      </c>
      <c r="J88">
        <f>+G88</f>
        <v>5.2790000001550652E-2</v>
      </c>
      <c r="O88">
        <f t="shared" ca="1" si="13"/>
        <v>-3.1656220147246561E-2</v>
      </c>
      <c r="P88">
        <f t="shared" ca="1" si="19"/>
        <v>-0.5855091041542223</v>
      </c>
      <c r="Q88" s="2">
        <f t="shared" si="20"/>
        <v>40722.930110000001</v>
      </c>
      <c r="R88">
        <f>G88</f>
        <v>5.2790000001550652E-2</v>
      </c>
    </row>
    <row r="89" spans="1:19" x14ac:dyDescent="0.2">
      <c r="A89" s="53" t="s">
        <v>330</v>
      </c>
      <c r="B89" s="54" t="s">
        <v>42</v>
      </c>
      <c r="C89" s="53">
        <v>55794.473400000003</v>
      </c>
      <c r="D89" s="53" t="s">
        <v>79</v>
      </c>
      <c r="E89" s="25">
        <f t="shared" si="17"/>
        <v>811.46178165172444</v>
      </c>
      <c r="F89">
        <f t="shared" si="18"/>
        <v>811.5</v>
      </c>
      <c r="G89" s="40">
        <f t="shared" si="14"/>
        <v>-0.58618499999283813</v>
      </c>
      <c r="I89">
        <f t="shared" ref="I89:I94" si="21">+G89</f>
        <v>-0.58618499999283813</v>
      </c>
      <c r="O89">
        <f t="shared" ca="1" si="13"/>
        <v>-3.1629028787137976E-2</v>
      </c>
      <c r="P89">
        <f t="shared" ca="1" si="19"/>
        <v>-0.58509042873914185</v>
      </c>
      <c r="Q89" s="2">
        <f t="shared" si="20"/>
        <v>40775.973400000003</v>
      </c>
      <c r="S89">
        <f>G89</f>
        <v>-0.58618499999283813</v>
      </c>
    </row>
    <row r="90" spans="1:19" x14ac:dyDescent="0.2">
      <c r="A90" s="37" t="s">
        <v>67</v>
      </c>
      <c r="B90" s="38" t="s">
        <v>51</v>
      </c>
      <c r="C90" s="37">
        <v>56876.437700000002</v>
      </c>
      <c r="D90" s="37">
        <v>2.5999999999999999E-3</v>
      </c>
      <c r="E90" s="25">
        <f t="shared" si="17"/>
        <v>882.00416748436396</v>
      </c>
      <c r="F90">
        <f t="shared" si="18"/>
        <v>882</v>
      </c>
      <c r="G90" s="40">
        <f t="shared" si="14"/>
        <v>6.3920000000507571E-2</v>
      </c>
      <c r="I90">
        <f t="shared" si="21"/>
        <v>6.3920000000507571E-2</v>
      </c>
      <c r="O90">
        <f t="shared" ca="1" si="13"/>
        <v>-3.1081317104950764E-2</v>
      </c>
      <c r="P90">
        <f t="shared" ca="1" si="19"/>
        <v>-0.57665710966395101</v>
      </c>
      <c r="Q90" s="2">
        <f t="shared" si="20"/>
        <v>41857.937700000002</v>
      </c>
      <c r="R90">
        <f>G90</f>
        <v>6.3920000000507571E-2</v>
      </c>
    </row>
    <row r="91" spans="1:19" x14ac:dyDescent="0.2">
      <c r="A91" s="37" t="s">
        <v>68</v>
      </c>
      <c r="B91" s="26"/>
      <c r="C91" s="37">
        <v>56929.480900000002</v>
      </c>
      <c r="D91" s="37">
        <v>2E-3</v>
      </c>
      <c r="E91" s="25">
        <f t="shared" si="17"/>
        <v>885.46250144251576</v>
      </c>
      <c r="F91">
        <f t="shared" si="18"/>
        <v>885.5</v>
      </c>
      <c r="G91" s="40">
        <f t="shared" si="14"/>
        <v>-0.5751449999952456</v>
      </c>
      <c r="I91">
        <f t="shared" si="21"/>
        <v>-0.5751449999952456</v>
      </c>
      <c r="O91">
        <f t="shared" ca="1" si="13"/>
        <v>-3.1054125744842176E-2</v>
      </c>
      <c r="P91">
        <f t="shared" ca="1" si="19"/>
        <v>-0.57623843424887067</v>
      </c>
      <c r="Q91" s="2">
        <f t="shared" si="20"/>
        <v>41910.980900000002</v>
      </c>
      <c r="S91">
        <f>G91</f>
        <v>-0.5751449999952456</v>
      </c>
    </row>
    <row r="92" spans="1:19" x14ac:dyDescent="0.2">
      <c r="A92" s="35" t="s">
        <v>69</v>
      </c>
      <c r="B92" s="36"/>
      <c r="C92" s="35">
        <v>57198.527099999999</v>
      </c>
      <c r="D92" s="35">
        <v>2.5999999999999999E-3</v>
      </c>
      <c r="E92" s="25">
        <f t="shared" si="17"/>
        <v>903.00389430289499</v>
      </c>
      <c r="F92">
        <f t="shared" si="18"/>
        <v>903</v>
      </c>
      <c r="G92" s="40">
        <f t="shared" si="14"/>
        <v>5.9730000000854488E-2</v>
      </c>
      <c r="I92">
        <f t="shared" si="21"/>
        <v>5.9730000000854488E-2</v>
      </c>
      <c r="O92">
        <f t="shared" ca="1" si="13"/>
        <v>-3.0918168944299253E-2</v>
      </c>
      <c r="P92">
        <f t="shared" ca="1" si="19"/>
        <v>-0.57414505717346864</v>
      </c>
      <c r="Q92" s="2">
        <f t="shared" si="20"/>
        <v>42180.027099999999</v>
      </c>
      <c r="R92">
        <f>G92</f>
        <v>5.9730000000854488E-2</v>
      </c>
    </row>
    <row r="93" spans="1:19" x14ac:dyDescent="0.2">
      <c r="A93" s="59" t="s">
        <v>0</v>
      </c>
      <c r="B93" s="65" t="s">
        <v>51</v>
      </c>
      <c r="C93" s="60">
        <v>57919.406900000002</v>
      </c>
      <c r="D93" s="60">
        <v>4.7999999999999996E-3</v>
      </c>
      <c r="E93" s="25">
        <f>+(C93-C$7)/C$8</f>
        <v>950.00413358117453</v>
      </c>
      <c r="F93">
        <f t="shared" si="18"/>
        <v>950</v>
      </c>
      <c r="G93" s="40">
        <f>+C93-(C$7+F93*C$8)</f>
        <v>6.339999999909196E-2</v>
      </c>
      <c r="I93">
        <f t="shared" si="21"/>
        <v>6.339999999909196E-2</v>
      </c>
      <c r="O93">
        <f ca="1">+C$11+C$12*F93</f>
        <v>-3.0553027822841111E-2</v>
      </c>
      <c r="P93">
        <f ca="1">+D$11+D$12*$F93</f>
        <v>-0.56852284445667467</v>
      </c>
      <c r="Q93" s="2">
        <f>+C93-15018.5</f>
        <v>42900.906900000002</v>
      </c>
      <c r="R93">
        <f>G93</f>
        <v>6.339999999909196E-2</v>
      </c>
    </row>
    <row r="94" spans="1:19" x14ac:dyDescent="0.2">
      <c r="A94" s="59" t="s">
        <v>0</v>
      </c>
      <c r="B94" s="65" t="s">
        <v>51</v>
      </c>
      <c r="C94" s="60">
        <v>57926.441500000001</v>
      </c>
      <c r="D94" s="60">
        <v>6.9999999999999999E-4</v>
      </c>
      <c r="E94" s="25">
        <f>+(C94-C$7)/C$8</f>
        <v>950.46277853589083</v>
      </c>
      <c r="F94">
        <f t="shared" si="18"/>
        <v>950.5</v>
      </c>
      <c r="G94" s="40">
        <f>+C94-(C$7+F94*C$8)</f>
        <v>-0.57089499999710824</v>
      </c>
      <c r="I94">
        <f t="shared" si="21"/>
        <v>-0.57089499999710824</v>
      </c>
      <c r="O94">
        <f ca="1">+C$11+C$12*F94</f>
        <v>-3.0549143342825602E-2</v>
      </c>
      <c r="P94">
        <f ca="1">+D$11+D$12*$F94</f>
        <v>-0.56846303368309181</v>
      </c>
      <c r="Q94" s="2">
        <f>+C94-15018.5</f>
        <v>42907.941500000001</v>
      </c>
      <c r="R94">
        <f t="shared" ref="R94:R95" si="22">G94</f>
        <v>-0.57089499999710824</v>
      </c>
    </row>
    <row r="95" spans="1:19" x14ac:dyDescent="0.2">
      <c r="A95" s="61" t="s">
        <v>348</v>
      </c>
      <c r="B95" s="62" t="s">
        <v>51</v>
      </c>
      <c r="C95" s="63">
        <v>59061.4467</v>
      </c>
      <c r="D95" s="64">
        <v>4.0000000000000002E-4</v>
      </c>
      <c r="E95" s="25">
        <f>+(C95-C$7)/C$8</f>
        <v>1024.4633483702673</v>
      </c>
      <c r="F95">
        <f t="shared" ref="F95" si="23">ROUND(2*E95,0)/2</f>
        <v>1024.5</v>
      </c>
      <c r="G95" s="40">
        <f>+C95-(C$7+F95*C$8)</f>
        <v>-0.56215499999962049</v>
      </c>
      <c r="I95">
        <f t="shared" ref="I95" si="24">+G95</f>
        <v>-0.56215499999962049</v>
      </c>
      <c r="O95">
        <f ca="1">+C$11+C$12*F95</f>
        <v>-2.9974240300529802E-2</v>
      </c>
      <c r="P95">
        <f ca="1">+D$11+D$12*$F95</f>
        <v>-0.55961103919282051</v>
      </c>
      <c r="Q95" s="2">
        <f>+C95-15018.5</f>
        <v>44042.9467</v>
      </c>
      <c r="R95">
        <f t="shared" si="22"/>
        <v>-0.56215499999962049</v>
      </c>
    </row>
    <row r="96" spans="1:19" x14ac:dyDescent="0.2">
      <c r="B96" s="5"/>
      <c r="C96" s="40"/>
      <c r="D96" s="40"/>
    </row>
    <row r="97" spans="2:4" x14ac:dyDescent="0.2">
      <c r="B97" s="5"/>
      <c r="C97" s="40"/>
      <c r="D97" s="40"/>
    </row>
    <row r="98" spans="2:4" x14ac:dyDescent="0.2">
      <c r="B98" s="5"/>
      <c r="C98" s="40"/>
      <c r="D98" s="40"/>
    </row>
    <row r="99" spans="2:4" x14ac:dyDescent="0.2">
      <c r="B99" s="5"/>
      <c r="C99" s="40"/>
      <c r="D99" s="40"/>
    </row>
    <row r="100" spans="2:4" x14ac:dyDescent="0.2">
      <c r="B100" s="5"/>
      <c r="C100" s="40"/>
      <c r="D100" s="40"/>
    </row>
    <row r="101" spans="2:4" x14ac:dyDescent="0.2">
      <c r="B101" s="5"/>
      <c r="C101" s="40"/>
      <c r="D101" s="40"/>
    </row>
    <row r="102" spans="2:4" x14ac:dyDescent="0.2">
      <c r="B102" s="5"/>
      <c r="C102" s="40"/>
      <c r="D102" s="40"/>
    </row>
    <row r="103" spans="2:4" x14ac:dyDescent="0.2">
      <c r="B103" s="5"/>
      <c r="C103" s="40"/>
      <c r="D103" s="40"/>
    </row>
    <row r="104" spans="2:4" x14ac:dyDescent="0.2">
      <c r="B104" s="5"/>
      <c r="C104" s="40"/>
      <c r="D104" s="40"/>
    </row>
    <row r="105" spans="2:4" x14ac:dyDescent="0.2">
      <c r="B105" s="5"/>
      <c r="C105" s="40"/>
      <c r="D105" s="40"/>
    </row>
    <row r="106" spans="2:4" x14ac:dyDescent="0.2">
      <c r="B106" s="5"/>
      <c r="C106" s="40"/>
      <c r="D106" s="40"/>
    </row>
    <row r="107" spans="2:4" x14ac:dyDescent="0.2">
      <c r="B107" s="5"/>
      <c r="C107" s="40"/>
      <c r="D107" s="40"/>
    </row>
    <row r="108" spans="2:4" x14ac:dyDescent="0.2">
      <c r="B108" s="5"/>
      <c r="C108" s="40"/>
      <c r="D108" s="40"/>
    </row>
    <row r="109" spans="2:4" x14ac:dyDescent="0.2">
      <c r="B109" s="5"/>
      <c r="C109" s="40"/>
      <c r="D109" s="40"/>
    </row>
    <row r="110" spans="2:4" x14ac:dyDescent="0.2">
      <c r="B110" s="5"/>
      <c r="C110" s="40"/>
      <c r="D110" s="40"/>
    </row>
    <row r="111" spans="2:4" x14ac:dyDescent="0.2">
      <c r="B111" s="5"/>
      <c r="C111" s="40"/>
      <c r="D111" s="40"/>
    </row>
    <row r="112" spans="2:4" x14ac:dyDescent="0.2">
      <c r="B112" s="5"/>
      <c r="C112" s="40"/>
      <c r="D112" s="40"/>
    </row>
    <row r="113" spans="2:4" x14ac:dyDescent="0.2">
      <c r="B113" s="5"/>
      <c r="C113" s="40"/>
      <c r="D113" s="40"/>
    </row>
    <row r="114" spans="2:4" x14ac:dyDescent="0.2">
      <c r="B114" s="5"/>
      <c r="C114" s="40"/>
      <c r="D114" s="40"/>
    </row>
    <row r="115" spans="2:4" x14ac:dyDescent="0.2">
      <c r="B115" s="5"/>
      <c r="C115" s="40"/>
      <c r="D115" s="40"/>
    </row>
    <row r="116" spans="2:4" x14ac:dyDescent="0.2">
      <c r="B116" s="5"/>
      <c r="C116" s="40"/>
      <c r="D116" s="40"/>
    </row>
    <row r="117" spans="2:4" x14ac:dyDescent="0.2">
      <c r="B117" s="5"/>
      <c r="C117" s="40"/>
      <c r="D117" s="40"/>
    </row>
    <row r="118" spans="2:4" x14ac:dyDescent="0.2">
      <c r="B118" s="5"/>
      <c r="C118" s="40"/>
      <c r="D118" s="40"/>
    </row>
    <row r="119" spans="2:4" x14ac:dyDescent="0.2">
      <c r="B119" s="5"/>
      <c r="C119" s="40"/>
      <c r="D119" s="40"/>
    </row>
    <row r="120" spans="2:4" x14ac:dyDescent="0.2">
      <c r="B120" s="5"/>
      <c r="C120" s="40"/>
      <c r="D120" s="40"/>
    </row>
    <row r="121" spans="2:4" x14ac:dyDescent="0.2">
      <c r="B121" s="5"/>
      <c r="C121" s="40"/>
      <c r="D121" s="40"/>
    </row>
    <row r="122" spans="2:4" x14ac:dyDescent="0.2">
      <c r="B122" s="5"/>
      <c r="C122" s="40"/>
      <c r="D122" s="40"/>
    </row>
    <row r="123" spans="2:4" x14ac:dyDescent="0.2">
      <c r="B123" s="5"/>
      <c r="C123" s="40"/>
      <c r="D123" s="40"/>
    </row>
    <row r="124" spans="2:4" x14ac:dyDescent="0.2">
      <c r="B124" s="5"/>
      <c r="C124" s="40"/>
      <c r="D124" s="40"/>
    </row>
    <row r="125" spans="2:4" x14ac:dyDescent="0.2">
      <c r="B125" s="5"/>
      <c r="C125" s="40"/>
      <c r="D125" s="40"/>
    </row>
    <row r="126" spans="2:4" x14ac:dyDescent="0.2">
      <c r="B126" s="5"/>
      <c r="C126" s="40"/>
      <c r="D126" s="40"/>
    </row>
    <row r="127" spans="2:4" x14ac:dyDescent="0.2">
      <c r="B127" s="5"/>
      <c r="C127" s="40"/>
      <c r="D127" s="40"/>
    </row>
    <row r="128" spans="2:4" x14ac:dyDescent="0.2">
      <c r="B128" s="5"/>
      <c r="C128" s="40"/>
      <c r="D128" s="40"/>
    </row>
    <row r="129" spans="2:4" x14ac:dyDescent="0.2">
      <c r="B129" s="5"/>
      <c r="C129" s="40"/>
      <c r="D129" s="40"/>
    </row>
    <row r="130" spans="2:4" x14ac:dyDescent="0.2">
      <c r="B130" s="5"/>
      <c r="C130" s="40"/>
      <c r="D130" s="40"/>
    </row>
    <row r="131" spans="2:4" x14ac:dyDescent="0.2">
      <c r="B131" s="5"/>
      <c r="C131" s="40"/>
      <c r="D131" s="40"/>
    </row>
    <row r="132" spans="2:4" x14ac:dyDescent="0.2">
      <c r="B132" s="5"/>
      <c r="C132" s="40"/>
      <c r="D132" s="40"/>
    </row>
    <row r="133" spans="2:4" x14ac:dyDescent="0.2">
      <c r="B133" s="5"/>
      <c r="C133" s="40"/>
      <c r="D133" s="40"/>
    </row>
    <row r="134" spans="2:4" x14ac:dyDescent="0.2">
      <c r="B134" s="5"/>
      <c r="C134" s="40"/>
      <c r="D134" s="40"/>
    </row>
    <row r="135" spans="2:4" x14ac:dyDescent="0.2">
      <c r="B135" s="5"/>
      <c r="C135" s="40"/>
      <c r="D135" s="40"/>
    </row>
    <row r="136" spans="2:4" x14ac:dyDescent="0.2">
      <c r="B136" s="5"/>
      <c r="C136" s="40"/>
      <c r="D136" s="40"/>
    </row>
    <row r="137" spans="2:4" x14ac:dyDescent="0.2">
      <c r="B137" s="5"/>
      <c r="C137" s="40"/>
      <c r="D137" s="40"/>
    </row>
    <row r="138" spans="2:4" x14ac:dyDescent="0.2">
      <c r="B138" s="5"/>
      <c r="C138" s="40"/>
      <c r="D138" s="40"/>
    </row>
    <row r="139" spans="2:4" x14ac:dyDescent="0.2">
      <c r="B139" s="5"/>
      <c r="C139" s="40"/>
      <c r="D139" s="40"/>
    </row>
    <row r="140" spans="2:4" x14ac:dyDescent="0.2">
      <c r="B140" s="5"/>
      <c r="C140" s="40"/>
      <c r="D140" s="40"/>
    </row>
    <row r="141" spans="2:4" x14ac:dyDescent="0.2">
      <c r="B141" s="5"/>
      <c r="C141" s="40"/>
      <c r="D141" s="40"/>
    </row>
    <row r="142" spans="2:4" x14ac:dyDescent="0.2">
      <c r="B142" s="5"/>
      <c r="C142" s="40"/>
      <c r="D142" s="40"/>
    </row>
    <row r="143" spans="2:4" x14ac:dyDescent="0.2">
      <c r="B143" s="5"/>
      <c r="C143" s="40"/>
      <c r="D143" s="40"/>
    </row>
    <row r="144" spans="2:4" x14ac:dyDescent="0.2">
      <c r="B144" s="5"/>
      <c r="C144" s="40"/>
      <c r="D144" s="40"/>
    </row>
    <row r="145" spans="2:4" x14ac:dyDescent="0.2">
      <c r="B145" s="5"/>
      <c r="C145" s="40"/>
      <c r="D145" s="40"/>
    </row>
    <row r="146" spans="2:4" x14ac:dyDescent="0.2">
      <c r="B146" s="5"/>
      <c r="C146" s="40"/>
      <c r="D146" s="40"/>
    </row>
    <row r="147" spans="2:4" x14ac:dyDescent="0.2">
      <c r="B147" s="5"/>
      <c r="C147" s="40"/>
      <c r="D147" s="40"/>
    </row>
    <row r="148" spans="2:4" x14ac:dyDescent="0.2">
      <c r="B148" s="5"/>
      <c r="C148" s="40"/>
      <c r="D148" s="40"/>
    </row>
    <row r="149" spans="2:4" x14ac:dyDescent="0.2">
      <c r="B149" s="5"/>
      <c r="C149" s="40"/>
      <c r="D149" s="40"/>
    </row>
    <row r="150" spans="2:4" x14ac:dyDescent="0.2">
      <c r="B150" s="5"/>
      <c r="C150" s="40"/>
      <c r="D150" s="40"/>
    </row>
    <row r="151" spans="2:4" x14ac:dyDescent="0.2">
      <c r="B151" s="5"/>
      <c r="C151" s="40"/>
      <c r="D151" s="40"/>
    </row>
    <row r="152" spans="2:4" x14ac:dyDescent="0.2">
      <c r="B152" s="5"/>
      <c r="C152" s="40"/>
      <c r="D152" s="40"/>
    </row>
    <row r="153" spans="2:4" x14ac:dyDescent="0.2">
      <c r="B153" s="5"/>
      <c r="C153" s="40"/>
      <c r="D153" s="40"/>
    </row>
    <row r="154" spans="2:4" x14ac:dyDescent="0.2">
      <c r="B154" s="5"/>
      <c r="C154" s="40"/>
      <c r="D154" s="40"/>
    </row>
    <row r="155" spans="2:4" x14ac:dyDescent="0.2">
      <c r="B155" s="5"/>
      <c r="C155" s="40"/>
      <c r="D155" s="40"/>
    </row>
    <row r="156" spans="2:4" x14ac:dyDescent="0.2">
      <c r="B156" s="5"/>
      <c r="C156" s="40"/>
      <c r="D156" s="40"/>
    </row>
    <row r="157" spans="2:4" x14ac:dyDescent="0.2">
      <c r="B157" s="5"/>
      <c r="C157" s="40"/>
      <c r="D157" s="40"/>
    </row>
    <row r="158" spans="2:4" x14ac:dyDescent="0.2">
      <c r="B158" s="5"/>
      <c r="C158" s="40"/>
      <c r="D158" s="40"/>
    </row>
    <row r="159" spans="2:4" x14ac:dyDescent="0.2">
      <c r="B159" s="5"/>
      <c r="C159" s="40"/>
      <c r="D159" s="40"/>
    </row>
    <row r="160" spans="2:4" x14ac:dyDescent="0.2">
      <c r="B160" s="5"/>
      <c r="C160" s="40"/>
      <c r="D160" s="40"/>
    </row>
    <row r="161" spans="2:4" x14ac:dyDescent="0.2">
      <c r="B161" s="5"/>
      <c r="C161" s="40"/>
      <c r="D161" s="40"/>
    </row>
    <row r="162" spans="2:4" x14ac:dyDescent="0.2">
      <c r="B162" s="5"/>
      <c r="C162" s="40"/>
      <c r="D162" s="40"/>
    </row>
    <row r="163" spans="2:4" x14ac:dyDescent="0.2">
      <c r="B163" s="5"/>
      <c r="C163" s="40"/>
      <c r="D163" s="40"/>
    </row>
    <row r="164" spans="2:4" x14ac:dyDescent="0.2">
      <c r="B164" s="5"/>
      <c r="C164" s="40"/>
      <c r="D164" s="40"/>
    </row>
    <row r="165" spans="2:4" x14ac:dyDescent="0.2">
      <c r="B165" s="5"/>
      <c r="C165" s="40"/>
      <c r="D165" s="40"/>
    </row>
    <row r="166" spans="2:4" x14ac:dyDescent="0.2">
      <c r="B166" s="5"/>
      <c r="C166" s="40"/>
      <c r="D166" s="40"/>
    </row>
    <row r="167" spans="2:4" x14ac:dyDescent="0.2">
      <c r="B167" s="5"/>
      <c r="C167" s="40"/>
      <c r="D167" s="40"/>
    </row>
    <row r="168" spans="2:4" x14ac:dyDescent="0.2">
      <c r="B168" s="5"/>
      <c r="C168" s="40"/>
      <c r="D168" s="40"/>
    </row>
    <row r="169" spans="2:4" x14ac:dyDescent="0.2">
      <c r="B169" s="5"/>
    </row>
  </sheetData>
  <phoneticPr fontId="7" type="noConversion"/>
  <hyperlinks>
    <hyperlink ref="H64683" r:id="rId1" display="http://vsolj.cetus-net.org/bulletin.html" xr:uid="{00000000-0004-0000-0000-000000000000}"/>
    <hyperlink ref="H64676" r:id="rId2" display="https://www.aavso.org/ejaavso" xr:uid="{00000000-0004-0000-0000-000001000000}"/>
    <hyperlink ref="AP827" r:id="rId3" display="http://cdsbib.u-strasbg.fr/cgi-bin/cdsbib?1990RMxAA..21..381G" xr:uid="{00000000-0004-0000-0000-000002000000}"/>
    <hyperlink ref="AP831" r:id="rId4" display="http://cdsbib.u-strasbg.fr/cgi-bin/cdsbib?1990RMxAA..21..381G" xr:uid="{00000000-0004-0000-0000-000003000000}"/>
    <hyperlink ref="AP830" r:id="rId5" display="http://cdsbib.u-strasbg.fr/cgi-bin/cdsbib?1990RMxAA..21..381G" xr:uid="{00000000-0004-0000-0000-000004000000}"/>
    <hyperlink ref="AP811" r:id="rId6" display="http://cdsbib.u-strasbg.fr/cgi-bin/cdsbib?1990RMxAA..21..381G" xr:uid="{00000000-0004-0000-0000-000005000000}"/>
    <hyperlink ref="I64683" r:id="rId7" display="http://vsolj.cetus-net.org/bulletin.html" xr:uid="{00000000-0004-0000-0000-000006000000}"/>
    <hyperlink ref="AQ967" r:id="rId8" display="http://cdsbib.u-strasbg.fr/cgi-bin/cdsbib?1990RMxAA..21..381G" xr:uid="{00000000-0004-0000-0000-000007000000}"/>
    <hyperlink ref="AQ55733" r:id="rId9" display="http://cdsbib.u-strasbg.fr/cgi-bin/cdsbib?1990RMxAA..21..381G" xr:uid="{00000000-0004-0000-0000-000008000000}"/>
    <hyperlink ref="AQ968" r:id="rId10" display="http://cdsbib.u-strasbg.fr/cgi-bin/cdsbib?1990RMxAA..21..381G" xr:uid="{00000000-0004-0000-0000-000009000000}"/>
    <hyperlink ref="H64680" r:id="rId11" display="https://www.aavso.org/ejaavso" xr:uid="{00000000-0004-0000-0000-00000A000000}"/>
    <hyperlink ref="H1853" r:id="rId12" display="http://vsolj.cetus-net.org/bulletin.html" xr:uid="{00000000-0004-0000-0000-00000B000000}"/>
    <hyperlink ref="AP3097" r:id="rId13" display="http://cdsbib.u-strasbg.fr/cgi-bin/cdsbib?1990RMxAA..21..381G" xr:uid="{00000000-0004-0000-0000-00000C000000}"/>
    <hyperlink ref="AP3100" r:id="rId14" display="http://cdsbib.u-strasbg.fr/cgi-bin/cdsbib?1990RMxAA..21..381G" xr:uid="{00000000-0004-0000-0000-00000D000000}"/>
    <hyperlink ref="AP3098" r:id="rId15" display="http://cdsbib.u-strasbg.fr/cgi-bin/cdsbib?1990RMxAA..21..381G" xr:uid="{00000000-0004-0000-0000-00000E000000}"/>
    <hyperlink ref="AP3082" r:id="rId16" display="http://cdsbib.u-strasbg.fr/cgi-bin/cdsbib?1990RMxAA..21..381G" xr:uid="{00000000-0004-0000-0000-00000F000000}"/>
    <hyperlink ref="I1853" r:id="rId17" display="http://vsolj.cetus-net.org/bulletin.html" xr:uid="{00000000-0004-0000-0000-000010000000}"/>
    <hyperlink ref="AQ3311" r:id="rId18" display="http://cdsbib.u-strasbg.fr/cgi-bin/cdsbib?1990RMxAA..21..381G" xr:uid="{00000000-0004-0000-0000-000011000000}"/>
    <hyperlink ref="AQ12" r:id="rId19" display="http://cdsbib.u-strasbg.fr/cgi-bin/cdsbib?1990RMxAA..21..381G" xr:uid="{00000000-0004-0000-0000-000012000000}"/>
    <hyperlink ref="AQ331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3FE34-A5B9-4DCE-8E2D-0CD0BD197B6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1"/>
  <sheetViews>
    <sheetView topLeftCell="A30" workbookViewId="0">
      <selection activeCell="A34" sqref="A34:D77"/>
    </sheetView>
  </sheetViews>
  <sheetFormatPr defaultRowHeight="12.75" x14ac:dyDescent="0.2"/>
  <cols>
    <col min="1" max="1" width="19.7109375" style="40" customWidth="1"/>
    <col min="2" max="2" width="4.42578125" style="18" customWidth="1"/>
    <col min="3" max="3" width="12.7109375" style="40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0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9" t="s">
        <v>70</v>
      </c>
      <c r="I1" s="41" t="s">
        <v>71</v>
      </c>
      <c r="J1" s="42" t="s">
        <v>72</v>
      </c>
    </row>
    <row r="2" spans="1:16" x14ac:dyDescent="0.2">
      <c r="I2" s="43" t="s">
        <v>73</v>
      </c>
      <c r="J2" s="44" t="s">
        <v>74</v>
      </c>
    </row>
    <row r="3" spans="1:16" x14ac:dyDescent="0.2">
      <c r="A3" s="45" t="s">
        <v>75</v>
      </c>
      <c r="I3" s="43" t="s">
        <v>76</v>
      </c>
      <c r="J3" s="44" t="s">
        <v>77</v>
      </c>
    </row>
    <row r="4" spans="1:16" x14ac:dyDescent="0.2">
      <c r="I4" s="43" t="s">
        <v>78</v>
      </c>
      <c r="J4" s="44" t="s">
        <v>77</v>
      </c>
    </row>
    <row r="5" spans="1:16" ht="13.5" thickBot="1" x14ac:dyDescent="0.25">
      <c r="I5" s="46" t="s">
        <v>31</v>
      </c>
      <c r="J5" s="47" t="s">
        <v>79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BBS 34 </v>
      </c>
      <c r="B11" s="5" t="str">
        <f t="shared" ref="B11:B42" si="1">IF(H11=INT(H11),"I","II")</f>
        <v>I</v>
      </c>
      <c r="C11" s="40">
        <f t="shared" ref="C11:C42" si="2">1*G11</f>
        <v>43348.442999999999</v>
      </c>
      <c r="D11" s="18" t="str">
        <f t="shared" ref="D11:D42" si="3">VLOOKUP(F11,I$1:J$5,2,FALSE)</f>
        <v>vis</v>
      </c>
      <c r="E11" s="48">
        <f>VLOOKUP(C11,'Active 1'!C$21:E$971,3,FALSE)</f>
        <v>0</v>
      </c>
      <c r="F11" s="5" t="s">
        <v>31</v>
      </c>
      <c r="G11" s="18" t="str">
        <f t="shared" ref="G11:G42" si="4">MID(I11,3,LEN(I11)-3)</f>
        <v>43348.443</v>
      </c>
      <c r="H11" s="40">
        <f t="shared" ref="H11:H42" si="5">1*K11</f>
        <v>0</v>
      </c>
      <c r="I11" s="49" t="s">
        <v>216</v>
      </c>
      <c r="J11" s="50" t="s">
        <v>217</v>
      </c>
      <c r="K11" s="49">
        <v>0</v>
      </c>
      <c r="L11" s="49" t="s">
        <v>218</v>
      </c>
      <c r="M11" s="50" t="s">
        <v>133</v>
      </c>
      <c r="N11" s="50"/>
      <c r="O11" s="51" t="s">
        <v>219</v>
      </c>
      <c r="P11" s="51" t="s">
        <v>220</v>
      </c>
    </row>
    <row r="12" spans="1:16" ht="12.75" customHeight="1" thickBot="1" x14ac:dyDescent="0.25">
      <c r="A12" s="40" t="str">
        <f t="shared" si="0"/>
        <v>BAVM 241 (=IBVS 6157) </v>
      </c>
      <c r="B12" s="5" t="str">
        <f t="shared" si="1"/>
        <v>I</v>
      </c>
      <c r="C12" s="40">
        <f t="shared" si="2"/>
        <v>57198.527099999999</v>
      </c>
      <c r="D12" s="18" t="str">
        <f t="shared" si="3"/>
        <v>vis</v>
      </c>
      <c r="E12" s="48">
        <f>VLOOKUP(C12,'Active 1'!C$21:E$971,3,FALSE)</f>
        <v>903.00389430289499</v>
      </c>
      <c r="F12" s="5" t="s">
        <v>31</v>
      </c>
      <c r="G12" s="18" t="str">
        <f t="shared" si="4"/>
        <v>57198.5271</v>
      </c>
      <c r="H12" s="40">
        <f t="shared" si="5"/>
        <v>903</v>
      </c>
      <c r="I12" s="49" t="s">
        <v>339</v>
      </c>
      <c r="J12" s="50" t="s">
        <v>340</v>
      </c>
      <c r="K12" s="49">
        <v>903</v>
      </c>
      <c r="L12" s="49" t="s">
        <v>341</v>
      </c>
      <c r="M12" s="50" t="s">
        <v>302</v>
      </c>
      <c r="N12" s="50">
        <v>0</v>
      </c>
      <c r="O12" s="51" t="s">
        <v>248</v>
      </c>
      <c r="P12" s="52" t="s">
        <v>342</v>
      </c>
    </row>
    <row r="13" spans="1:16" ht="12.75" customHeight="1" thickBot="1" x14ac:dyDescent="0.25">
      <c r="A13" s="40" t="str">
        <f t="shared" si="0"/>
        <v> APJ 299.668 </v>
      </c>
      <c r="B13" s="5" t="str">
        <f t="shared" si="1"/>
        <v>I</v>
      </c>
      <c r="C13" s="40">
        <f t="shared" si="2"/>
        <v>44882.212699999996</v>
      </c>
      <c r="D13" s="18" t="str">
        <f t="shared" si="3"/>
        <v>vis</v>
      </c>
      <c r="E13" s="48">
        <f>VLOOKUP(C13,'Active 1'!C$21:E$971,3,FALSE)</f>
        <v>99.999393654496316</v>
      </c>
      <c r="F13" s="5" t="s">
        <v>31</v>
      </c>
      <c r="G13" s="18" t="str">
        <f t="shared" si="4"/>
        <v>44882.2127</v>
      </c>
      <c r="H13" s="40">
        <f t="shared" si="5"/>
        <v>100</v>
      </c>
      <c r="I13" s="49" t="s">
        <v>221</v>
      </c>
      <c r="J13" s="50" t="s">
        <v>222</v>
      </c>
      <c r="K13" s="49">
        <v>100</v>
      </c>
      <c r="L13" s="49" t="s">
        <v>223</v>
      </c>
      <c r="M13" s="50" t="s">
        <v>224</v>
      </c>
      <c r="N13" s="50" t="s">
        <v>225</v>
      </c>
      <c r="O13" s="51" t="s">
        <v>226</v>
      </c>
      <c r="P13" s="51" t="s">
        <v>227</v>
      </c>
    </row>
    <row r="14" spans="1:16" ht="12.75" customHeight="1" thickBot="1" x14ac:dyDescent="0.25">
      <c r="A14" s="40" t="str">
        <f t="shared" si="0"/>
        <v> APJ 299.668 </v>
      </c>
      <c r="B14" s="5" t="str">
        <f t="shared" si="1"/>
        <v>II</v>
      </c>
      <c r="C14" s="40">
        <f t="shared" si="2"/>
        <v>44889.2192</v>
      </c>
      <c r="D14" s="18" t="str">
        <f t="shared" si="3"/>
        <v>vis</v>
      </c>
      <c r="E14" s="48">
        <f>VLOOKUP(C14,'Active 1'!C$21:E$971,3,FALSE)</f>
        <v>100.45620653301422</v>
      </c>
      <c r="F14" s="5" t="s">
        <v>31</v>
      </c>
      <c r="G14" s="18" t="str">
        <f t="shared" si="4"/>
        <v>44889.2192</v>
      </c>
      <c r="H14" s="40">
        <f t="shared" si="5"/>
        <v>100.5</v>
      </c>
      <c r="I14" s="49" t="s">
        <v>228</v>
      </c>
      <c r="J14" s="50" t="s">
        <v>229</v>
      </c>
      <c r="K14" s="49">
        <v>100.5</v>
      </c>
      <c r="L14" s="49" t="s">
        <v>230</v>
      </c>
      <c r="M14" s="50" t="s">
        <v>224</v>
      </c>
      <c r="N14" s="50" t="s">
        <v>225</v>
      </c>
      <c r="O14" s="51" t="s">
        <v>226</v>
      </c>
      <c r="P14" s="51" t="s">
        <v>227</v>
      </c>
    </row>
    <row r="15" spans="1:16" ht="12.75" customHeight="1" thickBot="1" x14ac:dyDescent="0.25">
      <c r="A15" s="40" t="str">
        <f t="shared" si="0"/>
        <v>IBVS 3286 </v>
      </c>
      <c r="B15" s="5" t="str">
        <f t="shared" si="1"/>
        <v>I</v>
      </c>
      <c r="C15" s="40">
        <f t="shared" si="2"/>
        <v>46998.842400000001</v>
      </c>
      <c r="D15" s="18" t="str">
        <f t="shared" si="3"/>
        <v>vis</v>
      </c>
      <c r="E15" s="48">
        <f>VLOOKUP(C15,'Active 1'!C$21:E$971,3,FALSE)</f>
        <v>238.00035076761398</v>
      </c>
      <c r="F15" s="5" t="s">
        <v>31</v>
      </c>
      <c r="G15" s="18" t="str">
        <f t="shared" si="4"/>
        <v>46998.8424</v>
      </c>
      <c r="H15" s="40">
        <f t="shared" si="5"/>
        <v>238</v>
      </c>
      <c r="I15" s="49" t="s">
        <v>231</v>
      </c>
      <c r="J15" s="50" t="s">
        <v>232</v>
      </c>
      <c r="K15" s="49">
        <v>238</v>
      </c>
      <c r="L15" s="49" t="s">
        <v>233</v>
      </c>
      <c r="M15" s="50" t="s">
        <v>224</v>
      </c>
      <c r="N15" s="50" t="s">
        <v>225</v>
      </c>
      <c r="O15" s="51" t="s">
        <v>234</v>
      </c>
      <c r="P15" s="52" t="s">
        <v>235</v>
      </c>
    </row>
    <row r="16" spans="1:16" ht="12.75" customHeight="1" thickBot="1" x14ac:dyDescent="0.25">
      <c r="A16" s="40" t="str">
        <f t="shared" si="0"/>
        <v> BBS 102 </v>
      </c>
      <c r="B16" s="5" t="str">
        <f t="shared" si="1"/>
        <v>I</v>
      </c>
      <c r="C16" s="40">
        <f t="shared" si="2"/>
        <v>48839.387000000002</v>
      </c>
      <c r="D16" s="18" t="str">
        <f t="shared" si="3"/>
        <v>vis</v>
      </c>
      <c r="E16" s="48">
        <f>VLOOKUP(C16,'Active 1'!C$21:E$971,3,FALSE)</f>
        <v>358.00098971233814</v>
      </c>
      <c r="F16" s="5" t="s">
        <v>31</v>
      </c>
      <c r="G16" s="18" t="str">
        <f t="shared" si="4"/>
        <v>48839.387</v>
      </c>
      <c r="H16" s="40">
        <f t="shared" si="5"/>
        <v>358</v>
      </c>
      <c r="I16" s="49" t="s">
        <v>240</v>
      </c>
      <c r="J16" s="50" t="s">
        <v>241</v>
      </c>
      <c r="K16" s="49">
        <v>358</v>
      </c>
      <c r="L16" s="49" t="s">
        <v>242</v>
      </c>
      <c r="M16" s="50" t="s">
        <v>224</v>
      </c>
      <c r="N16" s="50" t="s">
        <v>23</v>
      </c>
      <c r="O16" s="51" t="s">
        <v>219</v>
      </c>
      <c r="P16" s="51" t="s">
        <v>243</v>
      </c>
    </row>
    <row r="17" spans="1:16" ht="12.75" customHeight="1" thickBot="1" x14ac:dyDescent="0.25">
      <c r="A17" s="40" t="str">
        <f t="shared" si="0"/>
        <v>BAVM 68 </v>
      </c>
      <c r="B17" s="5" t="str">
        <f t="shared" si="1"/>
        <v>II</v>
      </c>
      <c r="C17" s="40">
        <f t="shared" si="2"/>
        <v>49168.494700000003</v>
      </c>
      <c r="D17" s="18" t="str">
        <f t="shared" si="3"/>
        <v>vis</v>
      </c>
      <c r="E17" s="48">
        <f>VLOOKUP(C17,'Active 1'!C$21:E$971,3,FALSE)</f>
        <v>379.45829875099372</v>
      </c>
      <c r="F17" s="5" t="s">
        <v>31</v>
      </c>
      <c r="G17" s="18" t="str">
        <f t="shared" si="4"/>
        <v>49168.4947</v>
      </c>
      <c r="H17" s="40">
        <f t="shared" si="5"/>
        <v>379.5</v>
      </c>
      <c r="I17" s="49" t="s">
        <v>244</v>
      </c>
      <c r="J17" s="50" t="s">
        <v>245</v>
      </c>
      <c r="K17" s="49">
        <v>379.5</v>
      </c>
      <c r="L17" s="49" t="s">
        <v>246</v>
      </c>
      <c r="M17" s="50" t="s">
        <v>224</v>
      </c>
      <c r="N17" s="50" t="s">
        <v>247</v>
      </c>
      <c r="O17" s="51" t="s">
        <v>248</v>
      </c>
      <c r="P17" s="52" t="s">
        <v>249</v>
      </c>
    </row>
    <row r="18" spans="1:16" ht="12.75" customHeight="1" thickBot="1" x14ac:dyDescent="0.25">
      <c r="A18" s="40" t="str">
        <f t="shared" si="0"/>
        <v>BAVM 68 </v>
      </c>
      <c r="B18" s="5" t="str">
        <f t="shared" si="1"/>
        <v>II</v>
      </c>
      <c r="C18" s="40">
        <f t="shared" si="2"/>
        <v>49168.495499999997</v>
      </c>
      <c r="D18" s="18" t="str">
        <f t="shared" si="3"/>
        <v>vis</v>
      </c>
      <c r="E18" s="48">
        <f>VLOOKUP(C18,'Active 1'!C$21:E$971,3,FALSE)</f>
        <v>379.45835090974634</v>
      </c>
      <c r="F18" s="5" t="s">
        <v>31</v>
      </c>
      <c r="G18" s="18" t="str">
        <f t="shared" si="4"/>
        <v>49168.4955</v>
      </c>
      <c r="H18" s="40">
        <f t="shared" si="5"/>
        <v>379.5</v>
      </c>
      <c r="I18" s="49" t="s">
        <v>250</v>
      </c>
      <c r="J18" s="50" t="s">
        <v>251</v>
      </c>
      <c r="K18" s="49">
        <v>379.5</v>
      </c>
      <c r="L18" s="49" t="s">
        <v>252</v>
      </c>
      <c r="M18" s="50" t="s">
        <v>224</v>
      </c>
      <c r="N18" s="50" t="s">
        <v>253</v>
      </c>
      <c r="O18" s="51" t="s">
        <v>248</v>
      </c>
      <c r="P18" s="52" t="s">
        <v>249</v>
      </c>
    </row>
    <row r="19" spans="1:16" ht="12.75" customHeight="1" thickBot="1" x14ac:dyDescent="0.25">
      <c r="A19" s="40" t="str">
        <f t="shared" si="0"/>
        <v>IBVS 4194 </v>
      </c>
      <c r="B19" s="5" t="str">
        <f t="shared" si="1"/>
        <v>I</v>
      </c>
      <c r="C19" s="40">
        <f t="shared" si="2"/>
        <v>49560.266799999998</v>
      </c>
      <c r="D19" s="18" t="str">
        <f t="shared" si="3"/>
        <v>vis</v>
      </c>
      <c r="E19" s="48">
        <f>VLOOKUP(C19,'Active 1'!C$21:E$971,3,FALSE)</f>
        <v>405.00122899061716</v>
      </c>
      <c r="F19" s="5" t="s">
        <v>31</v>
      </c>
      <c r="G19" s="18" t="str">
        <f t="shared" si="4"/>
        <v>49560.2668</v>
      </c>
      <c r="H19" s="40">
        <f t="shared" si="5"/>
        <v>405</v>
      </c>
      <c r="I19" s="49" t="s">
        <v>254</v>
      </c>
      <c r="J19" s="50" t="s">
        <v>255</v>
      </c>
      <c r="K19" s="49">
        <v>405</v>
      </c>
      <c r="L19" s="49" t="s">
        <v>256</v>
      </c>
      <c r="M19" s="50" t="s">
        <v>224</v>
      </c>
      <c r="N19" s="50" t="s">
        <v>225</v>
      </c>
      <c r="O19" s="51" t="s">
        <v>257</v>
      </c>
      <c r="P19" s="52" t="s">
        <v>258</v>
      </c>
    </row>
    <row r="20" spans="1:16" ht="12.75" customHeight="1" thickBot="1" x14ac:dyDescent="0.25">
      <c r="A20" s="40" t="str">
        <f t="shared" si="0"/>
        <v>IBVS 4217 </v>
      </c>
      <c r="B20" s="5" t="str">
        <f t="shared" si="1"/>
        <v>II</v>
      </c>
      <c r="C20" s="40">
        <f t="shared" si="2"/>
        <v>49889.377</v>
      </c>
      <c r="D20" s="18" t="str">
        <f t="shared" si="3"/>
        <v>vis</v>
      </c>
      <c r="E20" s="48">
        <f>VLOOKUP(C20,'Active 1'!C$21:E$971,3,FALSE)</f>
        <v>426.45870102537594</v>
      </c>
      <c r="F20" s="5" t="s">
        <v>31</v>
      </c>
      <c r="G20" s="18" t="str">
        <f t="shared" si="4"/>
        <v>49889.377</v>
      </c>
      <c r="H20" s="40">
        <f t="shared" si="5"/>
        <v>426.5</v>
      </c>
      <c r="I20" s="49" t="s">
        <v>259</v>
      </c>
      <c r="J20" s="50" t="s">
        <v>260</v>
      </c>
      <c r="K20" s="49">
        <v>426.5</v>
      </c>
      <c r="L20" s="49" t="s">
        <v>261</v>
      </c>
      <c r="M20" s="50" t="s">
        <v>224</v>
      </c>
      <c r="N20" s="50" t="s">
        <v>23</v>
      </c>
      <c r="O20" s="51" t="s">
        <v>262</v>
      </c>
      <c r="P20" s="52" t="s">
        <v>263</v>
      </c>
    </row>
    <row r="21" spans="1:16" ht="12.75" customHeight="1" thickBot="1" x14ac:dyDescent="0.25">
      <c r="A21" s="40" t="str">
        <f t="shared" si="0"/>
        <v>IBVS 4362 </v>
      </c>
      <c r="B21" s="5" t="str">
        <f t="shared" si="1"/>
        <v>II</v>
      </c>
      <c r="C21" s="40">
        <f t="shared" si="2"/>
        <v>49904.714500000002</v>
      </c>
      <c r="D21" s="18" t="str">
        <f t="shared" si="3"/>
        <v>vis</v>
      </c>
      <c r="E21" s="48">
        <f>VLOOKUP(C21,'Active 1'!C$21:E$971,3,FALSE)</f>
        <v>427.45868211782812</v>
      </c>
      <c r="F21" s="5" t="s">
        <v>31</v>
      </c>
      <c r="G21" s="18" t="str">
        <f t="shared" si="4"/>
        <v>49904.7145</v>
      </c>
      <c r="H21" s="40">
        <f t="shared" si="5"/>
        <v>427.5</v>
      </c>
      <c r="I21" s="49" t="s">
        <v>264</v>
      </c>
      <c r="J21" s="50" t="s">
        <v>265</v>
      </c>
      <c r="K21" s="49">
        <v>427.5</v>
      </c>
      <c r="L21" s="49" t="s">
        <v>266</v>
      </c>
      <c r="M21" s="50" t="s">
        <v>224</v>
      </c>
      <c r="N21" s="50" t="s">
        <v>225</v>
      </c>
      <c r="O21" s="51" t="s">
        <v>267</v>
      </c>
      <c r="P21" s="52" t="s">
        <v>268</v>
      </c>
    </row>
    <row r="22" spans="1:16" ht="12.75" customHeight="1" thickBot="1" x14ac:dyDescent="0.25">
      <c r="A22" s="40" t="str">
        <f t="shared" si="0"/>
        <v>IBVS 4597 </v>
      </c>
      <c r="B22" s="5" t="str">
        <f t="shared" si="1"/>
        <v>II</v>
      </c>
      <c r="C22" s="40">
        <f t="shared" si="2"/>
        <v>49935.391100000001</v>
      </c>
      <c r="D22" s="18" t="str">
        <f t="shared" si="3"/>
        <v>vis</v>
      </c>
      <c r="E22" s="48">
        <f>VLOOKUP(C22,'Active 1'!C$21:E$971,3,FALSE)</f>
        <v>429.45874862023805</v>
      </c>
      <c r="F22" s="5" t="s">
        <v>31</v>
      </c>
      <c r="G22" s="18" t="str">
        <f t="shared" si="4"/>
        <v>49935.3911</v>
      </c>
      <c r="H22" s="40">
        <f t="shared" si="5"/>
        <v>429.5</v>
      </c>
      <c r="I22" s="49" t="s">
        <v>269</v>
      </c>
      <c r="J22" s="50" t="s">
        <v>270</v>
      </c>
      <c r="K22" s="49">
        <v>429.5</v>
      </c>
      <c r="L22" s="49" t="s">
        <v>271</v>
      </c>
      <c r="M22" s="50" t="s">
        <v>224</v>
      </c>
      <c r="N22" s="50" t="s">
        <v>225</v>
      </c>
      <c r="O22" s="51" t="s">
        <v>272</v>
      </c>
      <c r="P22" s="52" t="s">
        <v>273</v>
      </c>
    </row>
    <row r="23" spans="1:16" ht="12.75" customHeight="1" thickBot="1" x14ac:dyDescent="0.25">
      <c r="A23" s="40" t="str">
        <f t="shared" si="0"/>
        <v> BBS 112 </v>
      </c>
      <c r="B23" s="5" t="str">
        <f t="shared" si="1"/>
        <v>I</v>
      </c>
      <c r="C23" s="40">
        <f t="shared" si="2"/>
        <v>50296.490599999997</v>
      </c>
      <c r="D23" s="18" t="str">
        <f t="shared" si="3"/>
        <v>vis</v>
      </c>
      <c r="E23" s="48">
        <f>VLOOKUP(C23,'Active 1'!C$21:E$971,3,FALSE)</f>
        <v>453.00187315121656</v>
      </c>
      <c r="F23" s="5" t="s">
        <v>31</v>
      </c>
      <c r="G23" s="18" t="str">
        <f t="shared" si="4"/>
        <v>50296.4906</v>
      </c>
      <c r="H23" s="40">
        <f t="shared" si="5"/>
        <v>453</v>
      </c>
      <c r="I23" s="49" t="s">
        <v>278</v>
      </c>
      <c r="J23" s="50" t="s">
        <v>279</v>
      </c>
      <c r="K23" s="49">
        <v>453</v>
      </c>
      <c r="L23" s="49" t="s">
        <v>280</v>
      </c>
      <c r="M23" s="50" t="s">
        <v>224</v>
      </c>
      <c r="N23" s="50" t="s">
        <v>225</v>
      </c>
      <c r="O23" s="51" t="s">
        <v>219</v>
      </c>
      <c r="P23" s="51" t="s">
        <v>281</v>
      </c>
    </row>
    <row r="24" spans="1:16" ht="12.75" customHeight="1" thickBot="1" x14ac:dyDescent="0.25">
      <c r="A24" s="40" t="str">
        <f t="shared" si="0"/>
        <v>IBVS 4680 </v>
      </c>
      <c r="B24" s="5" t="str">
        <f t="shared" si="1"/>
        <v>II</v>
      </c>
      <c r="C24" s="40">
        <f t="shared" si="2"/>
        <v>51070.396699999998</v>
      </c>
      <c r="D24" s="18" t="str">
        <f t="shared" si="3"/>
        <v>vis</v>
      </c>
      <c r="E24" s="48">
        <f>VLOOKUP(C24,'Active 1'!C$21:E$971,3,FALSE)</f>
        <v>503.45934453399076</v>
      </c>
      <c r="F24" s="5" t="s">
        <v>31</v>
      </c>
      <c r="G24" s="18" t="str">
        <f t="shared" si="4"/>
        <v>51070.3967</v>
      </c>
      <c r="H24" s="40">
        <f t="shared" si="5"/>
        <v>503.5</v>
      </c>
      <c r="I24" s="49" t="s">
        <v>282</v>
      </c>
      <c r="J24" s="50" t="s">
        <v>283</v>
      </c>
      <c r="K24" s="49">
        <v>503.5</v>
      </c>
      <c r="L24" s="49" t="s">
        <v>284</v>
      </c>
      <c r="M24" s="50" t="s">
        <v>224</v>
      </c>
      <c r="N24" s="50" t="s">
        <v>225</v>
      </c>
      <c r="O24" s="51" t="s">
        <v>285</v>
      </c>
      <c r="P24" s="52" t="s">
        <v>286</v>
      </c>
    </row>
    <row r="25" spans="1:16" ht="12.75" customHeight="1" thickBot="1" x14ac:dyDescent="0.25">
      <c r="A25" s="40" t="str">
        <f t="shared" si="0"/>
        <v>IBVS 4680 </v>
      </c>
      <c r="B25" s="5" t="str">
        <f t="shared" si="1"/>
        <v>I</v>
      </c>
      <c r="C25" s="40">
        <f t="shared" si="2"/>
        <v>51109.391799999998</v>
      </c>
      <c r="D25" s="18" t="str">
        <f t="shared" si="3"/>
        <v>vis</v>
      </c>
      <c r="E25" s="48">
        <f>VLOOKUP(C25,'Active 1'!C$21:E$971,3,FALSE)</f>
        <v>506.00176426981972</v>
      </c>
      <c r="F25" s="5" t="s">
        <v>31</v>
      </c>
      <c r="G25" s="18" t="str">
        <f t="shared" si="4"/>
        <v>51109.3918</v>
      </c>
      <c r="H25" s="40">
        <f t="shared" si="5"/>
        <v>506</v>
      </c>
      <c r="I25" s="49" t="s">
        <v>287</v>
      </c>
      <c r="J25" s="50" t="s">
        <v>288</v>
      </c>
      <c r="K25" s="49">
        <v>506</v>
      </c>
      <c r="L25" s="49" t="s">
        <v>289</v>
      </c>
      <c r="M25" s="50" t="s">
        <v>224</v>
      </c>
      <c r="N25" s="50" t="s">
        <v>225</v>
      </c>
      <c r="O25" s="51" t="s">
        <v>285</v>
      </c>
      <c r="P25" s="52" t="s">
        <v>286</v>
      </c>
    </row>
    <row r="26" spans="1:16" ht="12.75" customHeight="1" thickBot="1" x14ac:dyDescent="0.25">
      <c r="A26" s="40" t="str">
        <f t="shared" si="0"/>
        <v> BBS 120 </v>
      </c>
      <c r="B26" s="5" t="str">
        <f t="shared" si="1"/>
        <v>I</v>
      </c>
      <c r="C26" s="40">
        <f t="shared" si="2"/>
        <v>51385.474000000002</v>
      </c>
      <c r="D26" s="18" t="str">
        <f t="shared" si="3"/>
        <v>vis</v>
      </c>
      <c r="E26" s="48">
        <f>VLOOKUP(C26,'Active 1'!C$21:E$971,3,FALSE)</f>
        <v>524.00189336273365</v>
      </c>
      <c r="F26" s="5" t="s">
        <v>31</v>
      </c>
      <c r="G26" s="18" t="str">
        <f t="shared" si="4"/>
        <v>51385.4740</v>
      </c>
      <c r="H26" s="40">
        <f t="shared" si="5"/>
        <v>524</v>
      </c>
      <c r="I26" s="49" t="s">
        <v>290</v>
      </c>
      <c r="J26" s="50" t="s">
        <v>291</v>
      </c>
      <c r="K26" s="49">
        <v>524</v>
      </c>
      <c r="L26" s="49" t="s">
        <v>292</v>
      </c>
      <c r="M26" s="50" t="s">
        <v>224</v>
      </c>
      <c r="N26" s="50" t="s">
        <v>225</v>
      </c>
      <c r="O26" s="51" t="s">
        <v>219</v>
      </c>
      <c r="P26" s="51" t="s">
        <v>293</v>
      </c>
    </row>
    <row r="27" spans="1:16" ht="12.75" customHeight="1" thickBot="1" x14ac:dyDescent="0.25">
      <c r="A27" s="40" t="str">
        <f t="shared" si="0"/>
        <v>IBVS 5745 </v>
      </c>
      <c r="B27" s="5" t="str">
        <f t="shared" si="1"/>
        <v>I</v>
      </c>
      <c r="C27" s="40">
        <f t="shared" si="2"/>
        <v>53578.791100000002</v>
      </c>
      <c r="D27" s="18" t="str">
        <f t="shared" si="3"/>
        <v>vis</v>
      </c>
      <c r="E27" s="48">
        <f>VLOOKUP(C27,'Active 1'!C$21:E$971,3,FALSE)</f>
        <v>667.00274941826706</v>
      </c>
      <c r="F27" s="5" t="s">
        <v>31</v>
      </c>
      <c r="G27" s="18" t="str">
        <f t="shared" si="4"/>
        <v>53578.7911</v>
      </c>
      <c r="H27" s="40">
        <f t="shared" si="5"/>
        <v>667</v>
      </c>
      <c r="I27" s="49" t="s">
        <v>294</v>
      </c>
      <c r="J27" s="50" t="s">
        <v>295</v>
      </c>
      <c r="K27" s="49">
        <v>667</v>
      </c>
      <c r="L27" s="49" t="s">
        <v>296</v>
      </c>
      <c r="M27" s="50" t="s">
        <v>224</v>
      </c>
      <c r="N27" s="50" t="s">
        <v>225</v>
      </c>
      <c r="O27" s="51" t="s">
        <v>297</v>
      </c>
      <c r="P27" s="52" t="s">
        <v>298</v>
      </c>
    </row>
    <row r="28" spans="1:16" ht="12.75" customHeight="1" thickBot="1" x14ac:dyDescent="0.25">
      <c r="A28" s="40" t="str">
        <f t="shared" si="0"/>
        <v>OEJV 0074 </v>
      </c>
      <c r="B28" s="5" t="str">
        <f t="shared" si="1"/>
        <v>II</v>
      </c>
      <c r="C28" s="40">
        <f t="shared" si="2"/>
        <v>53846.554859999997</v>
      </c>
      <c r="D28" s="18" t="str">
        <f t="shared" si="3"/>
        <v>vis</v>
      </c>
      <c r="E28" s="48">
        <f>VLOOKUP(C28,'Active 1'!C$21:E$971,3,FALSE)</f>
        <v>684.46052918966791</v>
      </c>
      <c r="F28" s="5" t="s">
        <v>31</v>
      </c>
      <c r="G28" s="18" t="str">
        <f t="shared" si="4"/>
        <v>53846.55486</v>
      </c>
      <c r="H28" s="40">
        <f t="shared" si="5"/>
        <v>684.5</v>
      </c>
      <c r="I28" s="49" t="s">
        <v>299</v>
      </c>
      <c r="J28" s="50" t="s">
        <v>300</v>
      </c>
      <c r="K28" s="49">
        <v>684.5</v>
      </c>
      <c r="L28" s="49" t="s">
        <v>301</v>
      </c>
      <c r="M28" s="50" t="s">
        <v>302</v>
      </c>
      <c r="N28" s="50" t="s">
        <v>303</v>
      </c>
      <c r="O28" s="51" t="s">
        <v>304</v>
      </c>
      <c r="P28" s="52" t="s">
        <v>305</v>
      </c>
    </row>
    <row r="29" spans="1:16" ht="12.75" customHeight="1" thickBot="1" x14ac:dyDescent="0.25">
      <c r="A29" s="40" t="str">
        <f t="shared" si="0"/>
        <v>OEJV 0160 </v>
      </c>
      <c r="B29" s="5" t="str">
        <f t="shared" si="1"/>
        <v>I</v>
      </c>
      <c r="C29" s="40">
        <f t="shared" si="2"/>
        <v>55741.428979999997</v>
      </c>
      <c r="D29" s="18" t="str">
        <f t="shared" si="3"/>
        <v>vis</v>
      </c>
      <c r="E29" s="48">
        <f>VLOOKUP(C29,'Active 1'!C$21:E$971,3,FALSE)</f>
        <v>808.00336815147409</v>
      </c>
      <c r="F29" s="5" t="s">
        <v>31</v>
      </c>
      <c r="G29" s="18" t="str">
        <f t="shared" si="4"/>
        <v>55741.42898</v>
      </c>
      <c r="H29" s="40">
        <f t="shared" si="5"/>
        <v>808</v>
      </c>
      <c r="I29" s="49" t="s">
        <v>317</v>
      </c>
      <c r="J29" s="50" t="s">
        <v>318</v>
      </c>
      <c r="K29" s="49">
        <v>808</v>
      </c>
      <c r="L29" s="49" t="s">
        <v>319</v>
      </c>
      <c r="M29" s="50" t="s">
        <v>302</v>
      </c>
      <c r="N29" s="50" t="s">
        <v>303</v>
      </c>
      <c r="O29" s="51" t="s">
        <v>309</v>
      </c>
      <c r="P29" s="52" t="s">
        <v>320</v>
      </c>
    </row>
    <row r="30" spans="1:16" ht="12.75" customHeight="1" thickBot="1" x14ac:dyDescent="0.25">
      <c r="A30" s="40" t="str">
        <f t="shared" si="0"/>
        <v>BAVM 220 </v>
      </c>
      <c r="B30" s="5" t="str">
        <f t="shared" si="1"/>
        <v>I</v>
      </c>
      <c r="C30" s="40">
        <f t="shared" si="2"/>
        <v>55741.429900000003</v>
      </c>
      <c r="D30" s="18" t="str">
        <f t="shared" si="3"/>
        <v>vis</v>
      </c>
      <c r="E30" s="48">
        <f>VLOOKUP(C30,'Active 1'!C$21:E$971,3,FALSE)</f>
        <v>808.0034281340404</v>
      </c>
      <c r="F30" s="5" t="s">
        <v>31</v>
      </c>
      <c r="G30" s="18" t="str">
        <f t="shared" si="4"/>
        <v>55741.4299</v>
      </c>
      <c r="H30" s="40">
        <f t="shared" si="5"/>
        <v>808</v>
      </c>
      <c r="I30" s="49" t="s">
        <v>321</v>
      </c>
      <c r="J30" s="50" t="s">
        <v>322</v>
      </c>
      <c r="K30" s="49">
        <v>808</v>
      </c>
      <c r="L30" s="49" t="s">
        <v>323</v>
      </c>
      <c r="M30" s="50" t="s">
        <v>302</v>
      </c>
      <c r="N30" s="50">
        <v>0</v>
      </c>
      <c r="O30" s="51" t="s">
        <v>248</v>
      </c>
      <c r="P30" s="52" t="s">
        <v>324</v>
      </c>
    </row>
    <row r="31" spans="1:16" ht="12.75" customHeight="1" thickBot="1" x14ac:dyDescent="0.25">
      <c r="A31" s="40" t="str">
        <f t="shared" si="0"/>
        <v>OEJV 0160 </v>
      </c>
      <c r="B31" s="5" t="str">
        <f t="shared" si="1"/>
        <v>I</v>
      </c>
      <c r="C31" s="40">
        <f t="shared" si="2"/>
        <v>55741.430110000001</v>
      </c>
      <c r="D31" s="18" t="str">
        <f t="shared" si="3"/>
        <v>vis</v>
      </c>
      <c r="E31" s="48">
        <f>VLOOKUP(C31,'Active 1'!C$21:E$971,3,FALSE)</f>
        <v>808.00344182571291</v>
      </c>
      <c r="F31" s="5" t="s">
        <v>31</v>
      </c>
      <c r="G31" s="18" t="str">
        <f t="shared" si="4"/>
        <v>55741.43011</v>
      </c>
      <c r="H31" s="40">
        <f t="shared" si="5"/>
        <v>808</v>
      </c>
      <c r="I31" s="49" t="s">
        <v>325</v>
      </c>
      <c r="J31" s="50" t="s">
        <v>322</v>
      </c>
      <c r="K31" s="49">
        <v>808</v>
      </c>
      <c r="L31" s="49" t="s">
        <v>326</v>
      </c>
      <c r="M31" s="50" t="s">
        <v>302</v>
      </c>
      <c r="N31" s="50" t="s">
        <v>31</v>
      </c>
      <c r="O31" s="51" t="s">
        <v>309</v>
      </c>
      <c r="P31" s="52" t="s">
        <v>320</v>
      </c>
    </row>
    <row r="32" spans="1:16" ht="12.75" customHeight="1" thickBot="1" x14ac:dyDescent="0.25">
      <c r="A32" s="40" t="str">
        <f t="shared" si="0"/>
        <v>BAVM 238 </v>
      </c>
      <c r="B32" s="5" t="str">
        <f t="shared" si="1"/>
        <v>I</v>
      </c>
      <c r="C32" s="40">
        <f t="shared" si="2"/>
        <v>56876.437700000002</v>
      </c>
      <c r="D32" s="18" t="str">
        <f t="shared" si="3"/>
        <v>vis</v>
      </c>
      <c r="E32" s="48">
        <f>VLOOKUP(C32,'Active 1'!C$21:E$971,3,FALSE)</f>
        <v>882.00416748436396</v>
      </c>
      <c r="F32" s="5" t="s">
        <v>31</v>
      </c>
      <c r="G32" s="18" t="str">
        <f t="shared" si="4"/>
        <v>56876.4377</v>
      </c>
      <c r="H32" s="40">
        <f t="shared" si="5"/>
        <v>882</v>
      </c>
      <c r="I32" s="49" t="s">
        <v>331</v>
      </c>
      <c r="J32" s="50" t="s">
        <v>332</v>
      </c>
      <c r="K32" s="49">
        <v>882</v>
      </c>
      <c r="L32" s="49" t="s">
        <v>333</v>
      </c>
      <c r="M32" s="50" t="s">
        <v>302</v>
      </c>
      <c r="N32" s="50">
        <v>0</v>
      </c>
      <c r="O32" s="51" t="s">
        <v>248</v>
      </c>
      <c r="P32" s="52" t="s">
        <v>334</v>
      </c>
    </row>
    <row r="33" spans="1:16" ht="12.75" customHeight="1" thickBot="1" x14ac:dyDescent="0.25">
      <c r="A33" s="40" t="str">
        <f t="shared" si="0"/>
        <v>BAVM 239 </v>
      </c>
      <c r="B33" s="5" t="str">
        <f t="shared" si="1"/>
        <v>II</v>
      </c>
      <c r="C33" s="40">
        <f t="shared" si="2"/>
        <v>56929.480900000002</v>
      </c>
      <c r="D33" s="18" t="str">
        <f t="shared" si="3"/>
        <v>vis</v>
      </c>
      <c r="E33" s="48">
        <f>VLOOKUP(C33,'Active 1'!C$21:E$971,3,FALSE)</f>
        <v>885.46250144251576</v>
      </c>
      <c r="F33" s="5" t="s">
        <v>31</v>
      </c>
      <c r="G33" s="18" t="str">
        <f t="shared" si="4"/>
        <v>56929.4809</v>
      </c>
      <c r="H33" s="40">
        <f t="shared" si="5"/>
        <v>885.5</v>
      </c>
      <c r="I33" s="49" t="s">
        <v>335</v>
      </c>
      <c r="J33" s="50" t="s">
        <v>336</v>
      </c>
      <c r="K33" s="49">
        <v>885.5</v>
      </c>
      <c r="L33" s="49" t="s">
        <v>337</v>
      </c>
      <c r="M33" s="50" t="s">
        <v>302</v>
      </c>
      <c r="N33" s="50">
        <v>0</v>
      </c>
      <c r="O33" s="51" t="s">
        <v>248</v>
      </c>
      <c r="P33" s="52" t="s">
        <v>338</v>
      </c>
    </row>
    <row r="34" spans="1:16" ht="12.75" customHeight="1" thickBot="1" x14ac:dyDescent="0.25">
      <c r="A34" s="40" t="str">
        <f t="shared" si="0"/>
        <v> AC 113.14 </v>
      </c>
      <c r="B34" s="5" t="str">
        <f t="shared" si="1"/>
        <v>I</v>
      </c>
      <c r="C34" s="40">
        <f t="shared" si="2"/>
        <v>18240.22</v>
      </c>
      <c r="D34" s="18" t="str">
        <f t="shared" si="3"/>
        <v>vis</v>
      </c>
      <c r="E34" s="48">
        <f>VLOOKUP(C34,'Active 1'!C$21:E$971,3,FALSE)</f>
        <v>-1637.0170017975208</v>
      </c>
      <c r="F34" s="5" t="s">
        <v>31</v>
      </c>
      <c r="G34" s="18" t="str">
        <f t="shared" si="4"/>
        <v>18240.22</v>
      </c>
      <c r="H34" s="40">
        <f t="shared" si="5"/>
        <v>-1637</v>
      </c>
      <c r="I34" s="49" t="s">
        <v>81</v>
      </c>
      <c r="J34" s="50" t="s">
        <v>82</v>
      </c>
      <c r="K34" s="49">
        <v>-1637</v>
      </c>
      <c r="L34" s="49" t="s">
        <v>83</v>
      </c>
      <c r="M34" s="50" t="s">
        <v>84</v>
      </c>
      <c r="N34" s="50"/>
      <c r="O34" s="51" t="s">
        <v>85</v>
      </c>
      <c r="P34" s="51" t="s">
        <v>86</v>
      </c>
    </row>
    <row r="35" spans="1:16" ht="12.75" customHeight="1" thickBot="1" x14ac:dyDescent="0.25">
      <c r="A35" s="40" t="str">
        <f t="shared" si="0"/>
        <v> AA 11.52 </v>
      </c>
      <c r="B35" s="5" t="str">
        <f t="shared" si="1"/>
        <v>I</v>
      </c>
      <c r="C35" s="40">
        <f t="shared" si="2"/>
        <v>26507.47</v>
      </c>
      <c r="D35" s="18" t="str">
        <f t="shared" si="3"/>
        <v>vis</v>
      </c>
      <c r="E35" s="48">
        <f>VLOOKUP(C35,'Active 1'!C$21:E$971,3,FALSE)</f>
        <v>-1098.0051884919535</v>
      </c>
      <c r="F35" s="5" t="s">
        <v>31</v>
      </c>
      <c r="G35" s="18" t="str">
        <f t="shared" si="4"/>
        <v>26507.47</v>
      </c>
      <c r="H35" s="40">
        <f t="shared" si="5"/>
        <v>-1098</v>
      </c>
      <c r="I35" s="49" t="s">
        <v>87</v>
      </c>
      <c r="J35" s="50" t="s">
        <v>88</v>
      </c>
      <c r="K35" s="49">
        <v>-1098</v>
      </c>
      <c r="L35" s="49" t="s">
        <v>89</v>
      </c>
      <c r="M35" s="50" t="s">
        <v>84</v>
      </c>
      <c r="N35" s="50"/>
      <c r="O35" s="51" t="s">
        <v>90</v>
      </c>
      <c r="P35" s="51" t="s">
        <v>91</v>
      </c>
    </row>
    <row r="36" spans="1:16" ht="12.75" customHeight="1" thickBot="1" x14ac:dyDescent="0.25">
      <c r="A36" s="40" t="str">
        <f t="shared" si="0"/>
        <v> PZ 6.102 </v>
      </c>
      <c r="B36" s="5" t="str">
        <f t="shared" si="1"/>
        <v>I</v>
      </c>
      <c r="C36" s="40">
        <f t="shared" si="2"/>
        <v>28762.2</v>
      </c>
      <c r="D36" s="18" t="str">
        <f t="shared" si="3"/>
        <v>vis</v>
      </c>
      <c r="E36" s="48">
        <f>VLOOKUP(C36,'Active 1'!C$21:E$971,3,FALSE)</f>
        <v>-951.00030708465817</v>
      </c>
      <c r="F36" s="5" t="s">
        <v>31</v>
      </c>
      <c r="G36" s="18" t="str">
        <f t="shared" si="4"/>
        <v>28762.20</v>
      </c>
      <c r="H36" s="40">
        <f t="shared" si="5"/>
        <v>-951</v>
      </c>
      <c r="I36" s="49" t="s">
        <v>92</v>
      </c>
      <c r="J36" s="50" t="s">
        <v>93</v>
      </c>
      <c r="K36" s="49">
        <v>-951</v>
      </c>
      <c r="L36" s="49" t="s">
        <v>94</v>
      </c>
      <c r="M36" s="50" t="s">
        <v>84</v>
      </c>
      <c r="N36" s="50"/>
      <c r="O36" s="51" t="s">
        <v>85</v>
      </c>
      <c r="P36" s="51" t="s">
        <v>95</v>
      </c>
    </row>
    <row r="37" spans="1:16" ht="12.75" customHeight="1" thickBot="1" x14ac:dyDescent="0.25">
      <c r="A37" s="40" t="str">
        <f t="shared" si="0"/>
        <v> AA 11.52 </v>
      </c>
      <c r="B37" s="5" t="str">
        <f t="shared" si="1"/>
        <v>II</v>
      </c>
      <c r="C37" s="40">
        <f t="shared" si="2"/>
        <v>28784.42</v>
      </c>
      <c r="D37" s="18" t="str">
        <f t="shared" si="3"/>
        <v>vis</v>
      </c>
      <c r="E37" s="48">
        <f>VLOOKUP(C37,'Active 1'!C$21:E$971,3,FALSE)</f>
        <v>-949.55159772040179</v>
      </c>
      <c r="F37" s="5" t="s">
        <v>31</v>
      </c>
      <c r="G37" s="18" t="str">
        <f t="shared" si="4"/>
        <v>28784.42</v>
      </c>
      <c r="H37" s="40">
        <f t="shared" si="5"/>
        <v>-949.5</v>
      </c>
      <c r="I37" s="49" t="s">
        <v>96</v>
      </c>
      <c r="J37" s="50" t="s">
        <v>97</v>
      </c>
      <c r="K37" s="49">
        <v>-949.5</v>
      </c>
      <c r="L37" s="49" t="s">
        <v>98</v>
      </c>
      <c r="M37" s="50" t="s">
        <v>84</v>
      </c>
      <c r="N37" s="50"/>
      <c r="O37" s="51" t="s">
        <v>90</v>
      </c>
      <c r="P37" s="51" t="s">
        <v>91</v>
      </c>
    </row>
    <row r="38" spans="1:16" ht="12.75" customHeight="1" thickBot="1" x14ac:dyDescent="0.25">
      <c r="A38" s="40" t="str">
        <f t="shared" si="0"/>
        <v> AA 11.52 </v>
      </c>
      <c r="B38" s="5" t="str">
        <f t="shared" si="1"/>
        <v>II</v>
      </c>
      <c r="C38" s="40">
        <f t="shared" si="2"/>
        <v>29106.46</v>
      </c>
      <c r="D38" s="18" t="str">
        <f t="shared" si="3"/>
        <v>vis</v>
      </c>
      <c r="E38" s="48">
        <f>VLOOKUP(C38,'Active 1'!C$21:E$971,3,FALSE)</f>
        <v>-928.55509170486755</v>
      </c>
      <c r="F38" s="5" t="s">
        <v>31</v>
      </c>
      <c r="G38" s="18" t="str">
        <f t="shared" si="4"/>
        <v>29106.46</v>
      </c>
      <c r="H38" s="40">
        <f t="shared" si="5"/>
        <v>-928.5</v>
      </c>
      <c r="I38" s="49" t="s">
        <v>99</v>
      </c>
      <c r="J38" s="50" t="s">
        <v>100</v>
      </c>
      <c r="K38" s="49">
        <v>-928.5</v>
      </c>
      <c r="L38" s="49" t="s">
        <v>101</v>
      </c>
      <c r="M38" s="50" t="s">
        <v>84</v>
      </c>
      <c r="N38" s="50"/>
      <c r="O38" s="51" t="s">
        <v>90</v>
      </c>
      <c r="P38" s="51" t="s">
        <v>91</v>
      </c>
    </row>
    <row r="39" spans="1:16" ht="12.75" customHeight="1" thickBot="1" x14ac:dyDescent="0.25">
      <c r="A39" s="40" t="str">
        <f t="shared" si="0"/>
        <v> PZ 6.102 </v>
      </c>
      <c r="B39" s="5" t="str">
        <f t="shared" si="1"/>
        <v>I</v>
      </c>
      <c r="C39" s="40">
        <f t="shared" si="2"/>
        <v>29134.36</v>
      </c>
      <c r="D39" s="18" t="str">
        <f t="shared" si="3"/>
        <v>vis</v>
      </c>
      <c r="E39" s="48">
        <f>VLOOKUP(C39,'Active 1'!C$21:E$971,3,FALSE)</f>
        <v>-926.73605519439229</v>
      </c>
      <c r="F39" s="5" t="s">
        <v>31</v>
      </c>
      <c r="G39" s="18" t="str">
        <f t="shared" si="4"/>
        <v>29134.36</v>
      </c>
      <c r="H39" s="40">
        <f t="shared" si="5"/>
        <v>-927</v>
      </c>
      <c r="I39" s="49" t="s">
        <v>102</v>
      </c>
      <c r="J39" s="50" t="s">
        <v>103</v>
      </c>
      <c r="K39" s="49">
        <v>-927</v>
      </c>
      <c r="L39" s="49" t="s">
        <v>104</v>
      </c>
      <c r="M39" s="50" t="s">
        <v>84</v>
      </c>
      <c r="N39" s="50"/>
      <c r="O39" s="51" t="s">
        <v>85</v>
      </c>
      <c r="P39" s="51" t="s">
        <v>95</v>
      </c>
    </row>
    <row r="40" spans="1:16" ht="12.75" customHeight="1" thickBot="1" x14ac:dyDescent="0.25">
      <c r="A40" s="40" t="str">
        <f t="shared" si="0"/>
        <v> AA 11.52 </v>
      </c>
      <c r="B40" s="5" t="str">
        <f t="shared" si="1"/>
        <v>I</v>
      </c>
      <c r="C40" s="40">
        <f t="shared" si="2"/>
        <v>29375.57</v>
      </c>
      <c r="D40" s="18" t="str">
        <f t="shared" si="3"/>
        <v>vis</v>
      </c>
      <c r="E40" s="48">
        <f>VLOOKUP(C40,'Active 1'!C$21:E$971,3,FALSE)</f>
        <v>-911.00953918393714</v>
      </c>
      <c r="F40" s="5" t="s">
        <v>31</v>
      </c>
      <c r="G40" s="18" t="str">
        <f t="shared" si="4"/>
        <v>29375.57</v>
      </c>
      <c r="H40" s="40">
        <f t="shared" si="5"/>
        <v>-911</v>
      </c>
      <c r="I40" s="49" t="s">
        <v>105</v>
      </c>
      <c r="J40" s="50" t="s">
        <v>106</v>
      </c>
      <c r="K40" s="49">
        <v>-911</v>
      </c>
      <c r="L40" s="49" t="s">
        <v>107</v>
      </c>
      <c r="M40" s="50" t="s">
        <v>84</v>
      </c>
      <c r="N40" s="50"/>
      <c r="O40" s="51" t="s">
        <v>90</v>
      </c>
      <c r="P40" s="51" t="s">
        <v>91</v>
      </c>
    </row>
    <row r="41" spans="1:16" ht="12.75" customHeight="1" thickBot="1" x14ac:dyDescent="0.25">
      <c r="A41" s="40" t="str">
        <f t="shared" si="0"/>
        <v> PZ 6.102 </v>
      </c>
      <c r="B41" s="5" t="str">
        <f t="shared" si="1"/>
        <v>I</v>
      </c>
      <c r="C41" s="40">
        <f t="shared" si="2"/>
        <v>29498.36</v>
      </c>
      <c r="D41" s="18" t="str">
        <f t="shared" si="3"/>
        <v>vis</v>
      </c>
      <c r="E41" s="48">
        <f>VLOOKUP(C41,'Active 1'!C$21:E$971,3,FALSE)</f>
        <v>-903.00382258460957</v>
      </c>
      <c r="F41" s="5" t="s">
        <v>31</v>
      </c>
      <c r="G41" s="18" t="str">
        <f t="shared" si="4"/>
        <v>29498.36</v>
      </c>
      <c r="H41" s="40">
        <f t="shared" si="5"/>
        <v>-903</v>
      </c>
      <c r="I41" s="49" t="s">
        <v>108</v>
      </c>
      <c r="J41" s="50" t="s">
        <v>109</v>
      </c>
      <c r="K41" s="49">
        <v>-903</v>
      </c>
      <c r="L41" s="49" t="s">
        <v>110</v>
      </c>
      <c r="M41" s="50" t="s">
        <v>84</v>
      </c>
      <c r="N41" s="50"/>
      <c r="O41" s="51" t="s">
        <v>85</v>
      </c>
      <c r="P41" s="51" t="s">
        <v>95</v>
      </c>
    </row>
    <row r="42" spans="1:16" ht="12.75" customHeight="1" thickBot="1" x14ac:dyDescent="0.25">
      <c r="A42" s="40" t="str">
        <f t="shared" si="0"/>
        <v> PZ 6.102 </v>
      </c>
      <c r="B42" s="5" t="str">
        <f t="shared" si="1"/>
        <v>I</v>
      </c>
      <c r="C42" s="40">
        <f t="shared" si="2"/>
        <v>29728.57</v>
      </c>
      <c r="D42" s="18" t="str">
        <f t="shared" si="3"/>
        <v>vis</v>
      </c>
      <c r="E42" s="48">
        <f>VLOOKUP(C42,'Active 1'!C$21:E$971,3,FALSE)</f>
        <v>-887.99448942774677</v>
      </c>
      <c r="F42" s="5" t="s">
        <v>31</v>
      </c>
      <c r="G42" s="18" t="str">
        <f t="shared" si="4"/>
        <v>29728.57</v>
      </c>
      <c r="H42" s="40">
        <f t="shared" si="5"/>
        <v>-888</v>
      </c>
      <c r="I42" s="49" t="s">
        <v>111</v>
      </c>
      <c r="J42" s="50" t="s">
        <v>112</v>
      </c>
      <c r="K42" s="49">
        <v>-888</v>
      </c>
      <c r="L42" s="49" t="s">
        <v>113</v>
      </c>
      <c r="M42" s="50" t="s">
        <v>84</v>
      </c>
      <c r="N42" s="50"/>
      <c r="O42" s="51" t="s">
        <v>85</v>
      </c>
      <c r="P42" s="51" t="s">
        <v>95</v>
      </c>
    </row>
    <row r="43" spans="1:16" ht="12.75" customHeight="1" thickBot="1" x14ac:dyDescent="0.25">
      <c r="A43" s="40" t="str">
        <f t="shared" ref="A43:A77" si="6">P43</f>
        <v> AA 11.52 </v>
      </c>
      <c r="B43" s="5" t="str">
        <f t="shared" ref="B43:B77" si="7">IF(H43=INT(H43),"I","II")</f>
        <v>I</v>
      </c>
      <c r="C43" s="40">
        <f t="shared" ref="C43:C77" si="8">1*G43</f>
        <v>30464.54</v>
      </c>
      <c r="D43" s="18" t="str">
        <f t="shared" ref="D43:D77" si="9">VLOOKUP(F43,I$1:J$5,2,FALSE)</f>
        <v>vis</v>
      </c>
      <c r="E43" s="48">
        <f>VLOOKUP(C43,'Active 1'!C$21:E$971,3,FALSE)</f>
        <v>-840.01039263153291</v>
      </c>
      <c r="F43" s="5" t="s">
        <v>31</v>
      </c>
      <c r="G43" s="18" t="str">
        <f t="shared" ref="G43:G77" si="10">MID(I43,3,LEN(I43)-3)</f>
        <v>30464.54</v>
      </c>
      <c r="H43" s="40">
        <f t="shared" ref="H43:H77" si="11">1*K43</f>
        <v>-840</v>
      </c>
      <c r="I43" s="49" t="s">
        <v>114</v>
      </c>
      <c r="J43" s="50" t="s">
        <v>115</v>
      </c>
      <c r="K43" s="49">
        <v>-840</v>
      </c>
      <c r="L43" s="49" t="s">
        <v>116</v>
      </c>
      <c r="M43" s="50" t="s">
        <v>84</v>
      </c>
      <c r="N43" s="50"/>
      <c r="O43" s="51" t="s">
        <v>90</v>
      </c>
      <c r="P43" s="51" t="s">
        <v>91</v>
      </c>
    </row>
    <row r="44" spans="1:16" ht="12.75" customHeight="1" thickBot="1" x14ac:dyDescent="0.25">
      <c r="A44" s="40" t="str">
        <f t="shared" si="6"/>
        <v> AC 70.3 </v>
      </c>
      <c r="B44" s="5" t="str">
        <f t="shared" si="7"/>
        <v>II</v>
      </c>
      <c r="C44" s="40">
        <f t="shared" si="8"/>
        <v>30548.29</v>
      </c>
      <c r="D44" s="18" t="str">
        <f t="shared" si="9"/>
        <v>vis</v>
      </c>
      <c r="E44" s="48">
        <f>VLOOKUP(C44,'Active 1'!C$21:E$971,3,FALSE)</f>
        <v>-834.55002317804576</v>
      </c>
      <c r="F44" s="5" t="s">
        <v>31</v>
      </c>
      <c r="G44" s="18" t="str">
        <f t="shared" si="10"/>
        <v>30548.29</v>
      </c>
      <c r="H44" s="40">
        <f t="shared" si="11"/>
        <v>-834.5</v>
      </c>
      <c r="I44" s="49" t="s">
        <v>117</v>
      </c>
      <c r="J44" s="50" t="s">
        <v>118</v>
      </c>
      <c r="K44" s="49">
        <v>-834.5</v>
      </c>
      <c r="L44" s="49" t="s">
        <v>119</v>
      </c>
      <c r="M44" s="50" t="s">
        <v>84</v>
      </c>
      <c r="N44" s="50"/>
      <c r="O44" s="51" t="s">
        <v>120</v>
      </c>
      <c r="P44" s="51" t="s">
        <v>121</v>
      </c>
    </row>
    <row r="45" spans="1:16" ht="12.75" customHeight="1" thickBot="1" x14ac:dyDescent="0.25">
      <c r="A45" s="40" t="str">
        <f t="shared" si="6"/>
        <v> AC 70.3 </v>
      </c>
      <c r="B45" s="5" t="str">
        <f t="shared" si="7"/>
        <v>I</v>
      </c>
      <c r="C45" s="40">
        <f t="shared" si="8"/>
        <v>31262.25</v>
      </c>
      <c r="D45" s="18" t="str">
        <f t="shared" si="9"/>
        <v>vis</v>
      </c>
      <c r="E45" s="48">
        <f>VLOOKUP(C45,'Active 1'!C$21:E$971,3,FALSE)</f>
        <v>-788.00094407342908</v>
      </c>
      <c r="F45" s="5" t="s">
        <v>31</v>
      </c>
      <c r="G45" s="18" t="str">
        <f t="shared" si="10"/>
        <v>31262.25</v>
      </c>
      <c r="H45" s="40">
        <f t="shared" si="11"/>
        <v>-788</v>
      </c>
      <c r="I45" s="49" t="s">
        <v>122</v>
      </c>
      <c r="J45" s="50" t="s">
        <v>123</v>
      </c>
      <c r="K45" s="49">
        <v>-788</v>
      </c>
      <c r="L45" s="49" t="s">
        <v>124</v>
      </c>
      <c r="M45" s="50" t="s">
        <v>84</v>
      </c>
      <c r="N45" s="50"/>
      <c r="O45" s="51" t="s">
        <v>120</v>
      </c>
      <c r="P45" s="51" t="s">
        <v>121</v>
      </c>
    </row>
    <row r="46" spans="1:16" ht="12.75" customHeight="1" thickBot="1" x14ac:dyDescent="0.25">
      <c r="A46" s="40" t="str">
        <f t="shared" si="6"/>
        <v> AC 70.3 </v>
      </c>
      <c r="B46" s="5" t="str">
        <f t="shared" si="7"/>
        <v>II</v>
      </c>
      <c r="C46" s="40">
        <f t="shared" si="8"/>
        <v>31637.26</v>
      </c>
      <c r="D46" s="18" t="str">
        <f t="shared" si="9"/>
        <v>vis</v>
      </c>
      <c r="E46" s="48">
        <f>VLOOKUP(C46,'Active 1'!C$21:E$971,3,FALSE)</f>
        <v>-763.55087662564165</v>
      </c>
      <c r="F46" s="5" t="s">
        <v>31</v>
      </c>
      <c r="G46" s="18" t="str">
        <f t="shared" si="10"/>
        <v>31637.26</v>
      </c>
      <c r="H46" s="40">
        <f t="shared" si="11"/>
        <v>-763.5</v>
      </c>
      <c r="I46" s="49" t="s">
        <v>125</v>
      </c>
      <c r="J46" s="50" t="s">
        <v>126</v>
      </c>
      <c r="K46" s="49">
        <v>-763.5</v>
      </c>
      <c r="L46" s="49" t="s">
        <v>127</v>
      </c>
      <c r="M46" s="50" t="s">
        <v>84</v>
      </c>
      <c r="N46" s="50"/>
      <c r="O46" s="51" t="s">
        <v>120</v>
      </c>
      <c r="P46" s="51" t="s">
        <v>121</v>
      </c>
    </row>
    <row r="47" spans="1:16" ht="12.75" customHeight="1" thickBot="1" x14ac:dyDescent="0.25">
      <c r="A47" s="40" t="str">
        <f t="shared" si="6"/>
        <v> AC 70.3 </v>
      </c>
      <c r="B47" s="5" t="str">
        <f t="shared" si="7"/>
        <v>II</v>
      </c>
      <c r="C47" s="40">
        <f t="shared" si="8"/>
        <v>32064.22</v>
      </c>
      <c r="D47" s="18" t="str">
        <f t="shared" si="9"/>
        <v>vis</v>
      </c>
      <c r="E47" s="48">
        <f>VLOOKUP(C47,'Active 1'!C$21:E$971,3,FALSE)</f>
        <v>-735.71375015566116</v>
      </c>
      <c r="F47" s="5" t="s">
        <v>31</v>
      </c>
      <c r="G47" s="18" t="str">
        <f t="shared" si="10"/>
        <v>32064.22</v>
      </c>
      <c r="H47" s="40">
        <f t="shared" si="11"/>
        <v>-735.5</v>
      </c>
      <c r="I47" s="49" t="s">
        <v>128</v>
      </c>
      <c r="J47" s="50" t="s">
        <v>129</v>
      </c>
      <c r="K47" s="49">
        <v>-735.5</v>
      </c>
      <c r="L47" s="49" t="s">
        <v>130</v>
      </c>
      <c r="M47" s="50" t="s">
        <v>84</v>
      </c>
      <c r="N47" s="50"/>
      <c r="O47" s="51" t="s">
        <v>120</v>
      </c>
      <c r="P47" s="51" t="s">
        <v>121</v>
      </c>
    </row>
    <row r="48" spans="1:16" ht="12.75" customHeight="1" thickBot="1" x14ac:dyDescent="0.25">
      <c r="A48" s="40" t="str">
        <f t="shared" si="6"/>
        <v> AA 11.52 </v>
      </c>
      <c r="B48" s="5" t="str">
        <f t="shared" si="7"/>
        <v>I</v>
      </c>
      <c r="C48" s="40">
        <f t="shared" si="8"/>
        <v>32719.43</v>
      </c>
      <c r="D48" s="18" t="str">
        <f t="shared" si="9"/>
        <v>vis</v>
      </c>
      <c r="E48" s="48">
        <f>VLOOKUP(C48,'Active 1'!C$21:E$971,3,FALSE)</f>
        <v>-692.99507947363986</v>
      </c>
      <c r="F48" s="5" t="s">
        <v>31</v>
      </c>
      <c r="G48" s="18" t="str">
        <f t="shared" si="10"/>
        <v>32719.43</v>
      </c>
      <c r="H48" s="40">
        <f t="shared" si="11"/>
        <v>-693</v>
      </c>
      <c r="I48" s="49" t="s">
        <v>131</v>
      </c>
      <c r="J48" s="50" t="s">
        <v>132</v>
      </c>
      <c r="K48" s="49">
        <v>-693</v>
      </c>
      <c r="L48" s="49" t="s">
        <v>113</v>
      </c>
      <c r="M48" s="50" t="s">
        <v>133</v>
      </c>
      <c r="N48" s="50"/>
      <c r="O48" s="51" t="s">
        <v>134</v>
      </c>
      <c r="P48" s="51" t="s">
        <v>91</v>
      </c>
    </row>
    <row r="49" spans="1:16" ht="12.75" customHeight="1" thickBot="1" x14ac:dyDescent="0.25">
      <c r="A49" s="40" t="str">
        <f t="shared" si="6"/>
        <v> AA 11.52 </v>
      </c>
      <c r="B49" s="5" t="str">
        <f t="shared" si="7"/>
        <v>II</v>
      </c>
      <c r="C49" s="40">
        <f t="shared" si="8"/>
        <v>32772.26</v>
      </c>
      <c r="D49" s="18" t="str">
        <f t="shared" si="9"/>
        <v>vis</v>
      </c>
      <c r="E49" s="48">
        <f>VLOOKUP(C49,'Active 1'!C$21:E$971,3,FALSE)</f>
        <v>-689.55064582315947</v>
      </c>
      <c r="F49" s="5" t="s">
        <v>31</v>
      </c>
      <c r="G49" s="18" t="str">
        <f t="shared" si="10"/>
        <v>32772.26</v>
      </c>
      <c r="H49" s="40">
        <f t="shared" si="11"/>
        <v>-689.5</v>
      </c>
      <c r="I49" s="49" t="s">
        <v>135</v>
      </c>
      <c r="J49" s="50" t="s">
        <v>136</v>
      </c>
      <c r="K49" s="49">
        <v>-689.5</v>
      </c>
      <c r="L49" s="49" t="s">
        <v>127</v>
      </c>
      <c r="M49" s="50" t="s">
        <v>133</v>
      </c>
      <c r="N49" s="50"/>
      <c r="O49" s="51" t="s">
        <v>134</v>
      </c>
      <c r="P49" s="51" t="s">
        <v>91</v>
      </c>
    </row>
    <row r="50" spans="1:16" ht="12.75" customHeight="1" thickBot="1" x14ac:dyDescent="0.25">
      <c r="A50" s="40" t="str">
        <f t="shared" si="6"/>
        <v> AC 114.15 </v>
      </c>
      <c r="B50" s="5" t="str">
        <f t="shared" si="7"/>
        <v>II</v>
      </c>
      <c r="C50" s="40">
        <f t="shared" si="8"/>
        <v>32787.620000000003</v>
      </c>
      <c r="D50" s="18" t="str">
        <f t="shared" si="9"/>
        <v>vis</v>
      </c>
      <c r="E50" s="48">
        <f>VLOOKUP(C50,'Active 1'!C$21:E$971,3,FALSE)</f>
        <v>-688.54919776577958</v>
      </c>
      <c r="F50" s="5" t="s">
        <v>31</v>
      </c>
      <c r="G50" s="18" t="str">
        <f t="shared" si="10"/>
        <v>32787.62</v>
      </c>
      <c r="H50" s="40">
        <f t="shared" si="11"/>
        <v>-688.5</v>
      </c>
      <c r="I50" s="49" t="s">
        <v>137</v>
      </c>
      <c r="J50" s="50" t="s">
        <v>138</v>
      </c>
      <c r="K50" s="49">
        <v>-688.5</v>
      </c>
      <c r="L50" s="49" t="s">
        <v>139</v>
      </c>
      <c r="M50" s="50" t="s">
        <v>80</v>
      </c>
      <c r="N50" s="50"/>
      <c r="O50" s="51" t="s">
        <v>140</v>
      </c>
      <c r="P50" s="51" t="s">
        <v>141</v>
      </c>
    </row>
    <row r="51" spans="1:16" ht="12.75" customHeight="1" thickBot="1" x14ac:dyDescent="0.25">
      <c r="A51" s="40" t="str">
        <f t="shared" si="6"/>
        <v> AA 11.52 </v>
      </c>
      <c r="B51" s="5" t="str">
        <f t="shared" si="7"/>
        <v>I</v>
      </c>
      <c r="C51" s="40">
        <f t="shared" si="8"/>
        <v>33087.26</v>
      </c>
      <c r="D51" s="18" t="str">
        <f t="shared" si="9"/>
        <v>vis</v>
      </c>
      <c r="E51" s="48">
        <f>VLOOKUP(C51,'Active 1'!C$21:E$971,3,FALSE)</f>
        <v>-669.01313683392436</v>
      </c>
      <c r="F51" s="5" t="s">
        <v>31</v>
      </c>
      <c r="G51" s="18" t="str">
        <f t="shared" si="10"/>
        <v>33087.26</v>
      </c>
      <c r="H51" s="40">
        <f t="shared" si="11"/>
        <v>-669</v>
      </c>
      <c r="I51" s="49" t="s">
        <v>142</v>
      </c>
      <c r="J51" s="50" t="s">
        <v>143</v>
      </c>
      <c r="K51" s="49">
        <v>-669</v>
      </c>
      <c r="L51" s="49" t="s">
        <v>144</v>
      </c>
      <c r="M51" s="50" t="s">
        <v>133</v>
      </c>
      <c r="N51" s="50"/>
      <c r="O51" s="51" t="s">
        <v>134</v>
      </c>
      <c r="P51" s="51" t="s">
        <v>91</v>
      </c>
    </row>
    <row r="52" spans="1:16" ht="12.75" customHeight="1" thickBot="1" x14ac:dyDescent="0.25">
      <c r="A52" s="40" t="str">
        <f t="shared" si="6"/>
        <v> AC 100.17 </v>
      </c>
      <c r="B52" s="5" t="str">
        <f t="shared" si="7"/>
        <v>I</v>
      </c>
      <c r="C52" s="40">
        <f t="shared" si="8"/>
        <v>33210.199999999997</v>
      </c>
      <c r="D52" s="18" t="str">
        <f t="shared" si="9"/>
        <v>vis</v>
      </c>
      <c r="E52" s="48">
        <f>VLOOKUP(C52,'Active 1'!C$21:E$971,3,FALSE)</f>
        <v>-660.99764046841187</v>
      </c>
      <c r="F52" s="5" t="s">
        <v>31</v>
      </c>
      <c r="G52" s="18" t="str">
        <f t="shared" si="10"/>
        <v>33210.20</v>
      </c>
      <c r="H52" s="40">
        <f t="shared" si="11"/>
        <v>-661</v>
      </c>
      <c r="I52" s="49" t="s">
        <v>145</v>
      </c>
      <c r="J52" s="50" t="s">
        <v>146</v>
      </c>
      <c r="K52" s="49">
        <v>-661</v>
      </c>
      <c r="L52" s="49" t="s">
        <v>147</v>
      </c>
      <c r="M52" s="50" t="s">
        <v>133</v>
      </c>
      <c r="N52" s="50"/>
      <c r="O52" s="51" t="s">
        <v>148</v>
      </c>
      <c r="P52" s="51" t="s">
        <v>149</v>
      </c>
    </row>
    <row r="53" spans="1:16" ht="12.75" customHeight="1" thickBot="1" x14ac:dyDescent="0.25">
      <c r="A53" s="40" t="str">
        <f t="shared" si="6"/>
        <v> AC 100.17 </v>
      </c>
      <c r="B53" s="5" t="str">
        <f t="shared" si="7"/>
        <v>II</v>
      </c>
      <c r="C53" s="40">
        <f t="shared" si="8"/>
        <v>33263.08</v>
      </c>
      <c r="D53" s="18" t="str">
        <f t="shared" si="9"/>
        <v>vis</v>
      </c>
      <c r="E53" s="48">
        <f>VLOOKUP(C53,'Active 1'!C$21:E$971,3,FALSE)</f>
        <v>-657.54994689586943</v>
      </c>
      <c r="F53" s="5" t="s">
        <v>31</v>
      </c>
      <c r="G53" s="18" t="str">
        <f t="shared" si="10"/>
        <v>33263.08</v>
      </c>
      <c r="H53" s="40">
        <f t="shared" si="11"/>
        <v>-657.5</v>
      </c>
      <c r="I53" s="49" t="s">
        <v>150</v>
      </c>
      <c r="J53" s="50" t="s">
        <v>151</v>
      </c>
      <c r="K53" s="49">
        <v>-657.5</v>
      </c>
      <c r="L53" s="49" t="s">
        <v>119</v>
      </c>
      <c r="M53" s="50" t="s">
        <v>133</v>
      </c>
      <c r="N53" s="50"/>
      <c r="O53" s="51" t="s">
        <v>148</v>
      </c>
      <c r="P53" s="51" t="s">
        <v>149</v>
      </c>
    </row>
    <row r="54" spans="1:16" ht="12.75" customHeight="1" thickBot="1" x14ac:dyDescent="0.25">
      <c r="A54" s="40" t="str">
        <f t="shared" si="6"/>
        <v> AC 113.15 </v>
      </c>
      <c r="B54" s="5" t="str">
        <f t="shared" si="7"/>
        <v>II</v>
      </c>
      <c r="C54" s="40">
        <f t="shared" si="8"/>
        <v>33585.199999999997</v>
      </c>
      <c r="D54" s="18" t="str">
        <f t="shared" si="9"/>
        <v>vis</v>
      </c>
      <c r="E54" s="48">
        <f>VLOOKUP(C54,'Active 1'!C$21:E$971,3,FALSE)</f>
        <v>-636.54822500503667</v>
      </c>
      <c r="F54" s="5" t="s">
        <v>31</v>
      </c>
      <c r="G54" s="18" t="str">
        <f t="shared" si="10"/>
        <v>33585.20</v>
      </c>
      <c r="H54" s="40">
        <f t="shared" si="11"/>
        <v>-636.5</v>
      </c>
      <c r="I54" s="49" t="s">
        <v>152</v>
      </c>
      <c r="J54" s="50" t="s">
        <v>153</v>
      </c>
      <c r="K54" s="49">
        <v>-636.5</v>
      </c>
      <c r="L54" s="49" t="s">
        <v>154</v>
      </c>
      <c r="M54" s="50" t="s">
        <v>133</v>
      </c>
      <c r="N54" s="50"/>
      <c r="O54" s="51" t="s">
        <v>148</v>
      </c>
      <c r="P54" s="51" t="s">
        <v>155</v>
      </c>
    </row>
    <row r="55" spans="1:16" ht="12.75" customHeight="1" thickBot="1" x14ac:dyDescent="0.25">
      <c r="A55" s="40" t="str">
        <f t="shared" si="6"/>
        <v> AA 11.52 </v>
      </c>
      <c r="B55" s="5" t="str">
        <f t="shared" si="7"/>
        <v>II</v>
      </c>
      <c r="C55" s="40">
        <f t="shared" si="8"/>
        <v>33953.29</v>
      </c>
      <c r="D55" s="18" t="str">
        <f t="shared" si="9"/>
        <v>vis</v>
      </c>
      <c r="E55" s="48">
        <f>VLOOKUP(C55,'Active 1'!C$21:E$971,3,FALSE)</f>
        <v>-612.54933077059979</v>
      </c>
      <c r="F55" s="5" t="s">
        <v>31</v>
      </c>
      <c r="G55" s="18" t="str">
        <f t="shared" si="10"/>
        <v>33953.29</v>
      </c>
      <c r="H55" s="40">
        <f t="shared" si="11"/>
        <v>-612.5</v>
      </c>
      <c r="I55" s="49" t="s">
        <v>156</v>
      </c>
      <c r="J55" s="50" t="s">
        <v>157</v>
      </c>
      <c r="K55" s="49">
        <v>-612.5</v>
      </c>
      <c r="L55" s="49" t="s">
        <v>158</v>
      </c>
      <c r="M55" s="50" t="s">
        <v>80</v>
      </c>
      <c r="N55" s="50"/>
      <c r="O55" s="51" t="s">
        <v>159</v>
      </c>
      <c r="P55" s="51" t="s">
        <v>91</v>
      </c>
    </row>
    <row r="56" spans="1:16" ht="12.75" customHeight="1" thickBot="1" x14ac:dyDescent="0.25">
      <c r="A56" s="40" t="str">
        <f t="shared" si="6"/>
        <v> AHSB 6.1.79 </v>
      </c>
      <c r="B56" s="5" t="str">
        <f t="shared" si="7"/>
        <v>I</v>
      </c>
      <c r="C56" s="40">
        <f t="shared" si="8"/>
        <v>34636.525000000001</v>
      </c>
      <c r="D56" s="18" t="str">
        <f t="shared" si="9"/>
        <v>vis</v>
      </c>
      <c r="E56" s="48">
        <f>VLOOKUP(C56,'Active 1'!C$21:E$971,3,FALSE)</f>
        <v>-568.00347377294895</v>
      </c>
      <c r="F56" s="5" t="s">
        <v>31</v>
      </c>
      <c r="G56" s="18" t="str">
        <f t="shared" si="10"/>
        <v>34636.525</v>
      </c>
      <c r="H56" s="40">
        <f t="shared" si="11"/>
        <v>-568</v>
      </c>
      <c r="I56" s="49" t="s">
        <v>160</v>
      </c>
      <c r="J56" s="50" t="s">
        <v>161</v>
      </c>
      <c r="K56" s="49">
        <v>-568</v>
      </c>
      <c r="L56" s="49" t="s">
        <v>162</v>
      </c>
      <c r="M56" s="50" t="s">
        <v>80</v>
      </c>
      <c r="N56" s="50"/>
      <c r="O56" s="51" t="s">
        <v>163</v>
      </c>
      <c r="P56" s="51" t="s">
        <v>164</v>
      </c>
    </row>
    <row r="57" spans="1:16" ht="12.75" customHeight="1" thickBot="1" x14ac:dyDescent="0.25">
      <c r="A57" s="40" t="str">
        <f t="shared" si="6"/>
        <v> PZ 11.227 </v>
      </c>
      <c r="B57" s="5" t="str">
        <f t="shared" si="7"/>
        <v>II</v>
      </c>
      <c r="C57" s="40">
        <f t="shared" si="8"/>
        <v>35272.387999999999</v>
      </c>
      <c r="D57" s="18" t="str">
        <f t="shared" si="9"/>
        <v>vis</v>
      </c>
      <c r="E57" s="48">
        <f>VLOOKUP(C57,'Active 1'!C$21:E$971,3,FALSE)</f>
        <v>-526.54619733351421</v>
      </c>
      <c r="F57" s="5" t="s">
        <v>31</v>
      </c>
      <c r="G57" s="18" t="str">
        <f t="shared" si="10"/>
        <v>35272.388</v>
      </c>
      <c r="H57" s="40">
        <f t="shared" si="11"/>
        <v>-526.5</v>
      </c>
      <c r="I57" s="49" t="s">
        <v>165</v>
      </c>
      <c r="J57" s="50" t="s">
        <v>166</v>
      </c>
      <c r="K57" s="49">
        <v>-526.5</v>
      </c>
      <c r="L57" s="49" t="s">
        <v>167</v>
      </c>
      <c r="M57" s="50" t="s">
        <v>80</v>
      </c>
      <c r="N57" s="50"/>
      <c r="O57" s="51" t="s">
        <v>168</v>
      </c>
      <c r="P57" s="51" t="s">
        <v>169</v>
      </c>
    </row>
    <row r="58" spans="1:16" ht="12.75" customHeight="1" thickBot="1" x14ac:dyDescent="0.25">
      <c r="A58" s="40" t="str">
        <f t="shared" si="6"/>
        <v> AA 11.52 </v>
      </c>
      <c r="B58" s="5" t="str">
        <f t="shared" si="7"/>
        <v>I</v>
      </c>
      <c r="C58" s="40">
        <f t="shared" si="8"/>
        <v>35664.144999999997</v>
      </c>
      <c r="D58" s="18" t="str">
        <f t="shared" si="9"/>
        <v>vis</v>
      </c>
      <c r="E58" s="48">
        <f>VLOOKUP(C58,'Active 1'!C$21:E$971,3,FALSE)</f>
        <v>-501.00425159035314</v>
      </c>
      <c r="F58" s="5" t="s">
        <v>31</v>
      </c>
      <c r="G58" s="18" t="str">
        <f t="shared" si="10"/>
        <v>35664.145</v>
      </c>
      <c r="H58" s="40">
        <f t="shared" si="11"/>
        <v>-501</v>
      </c>
      <c r="I58" s="49" t="s">
        <v>170</v>
      </c>
      <c r="J58" s="50" t="s">
        <v>171</v>
      </c>
      <c r="K58" s="49">
        <v>-501</v>
      </c>
      <c r="L58" s="49" t="s">
        <v>172</v>
      </c>
      <c r="M58" s="50" t="s">
        <v>80</v>
      </c>
      <c r="N58" s="50"/>
      <c r="O58" s="51" t="s">
        <v>173</v>
      </c>
      <c r="P58" s="51" t="s">
        <v>91</v>
      </c>
    </row>
    <row r="59" spans="1:16" ht="12.75" customHeight="1" thickBot="1" x14ac:dyDescent="0.25">
      <c r="A59" s="40" t="str">
        <f t="shared" si="6"/>
        <v> AA 11.52 </v>
      </c>
      <c r="B59" s="5" t="str">
        <f t="shared" si="7"/>
        <v>II</v>
      </c>
      <c r="C59" s="40">
        <f t="shared" si="8"/>
        <v>35732.506000000001</v>
      </c>
      <c r="D59" s="18" t="str">
        <f t="shared" si="9"/>
        <v>vis</v>
      </c>
      <c r="E59" s="48">
        <f>VLOOKUP(C59,'Active 1'!C$21:E$971,3,FALSE)</f>
        <v>-496.54722094904145</v>
      </c>
      <c r="F59" s="5" t="s">
        <v>31</v>
      </c>
      <c r="G59" s="18" t="str">
        <f t="shared" si="10"/>
        <v>35732.506</v>
      </c>
      <c r="H59" s="40">
        <f t="shared" si="11"/>
        <v>-496.5</v>
      </c>
      <c r="I59" s="49" t="s">
        <v>174</v>
      </c>
      <c r="J59" s="50" t="s">
        <v>175</v>
      </c>
      <c r="K59" s="49">
        <v>-496.5</v>
      </c>
      <c r="L59" s="49" t="s">
        <v>176</v>
      </c>
      <c r="M59" s="50" t="s">
        <v>84</v>
      </c>
      <c r="N59" s="50"/>
      <c r="O59" s="51" t="s">
        <v>173</v>
      </c>
      <c r="P59" s="51" t="s">
        <v>91</v>
      </c>
    </row>
    <row r="60" spans="1:16" ht="12.75" customHeight="1" thickBot="1" x14ac:dyDescent="0.25">
      <c r="A60" s="40" t="str">
        <f t="shared" si="6"/>
        <v> AA 8.187 </v>
      </c>
      <c r="B60" s="5" t="str">
        <f t="shared" si="7"/>
        <v>I</v>
      </c>
      <c r="C60" s="40">
        <f t="shared" si="8"/>
        <v>36001.593000000001</v>
      </c>
      <c r="D60" s="18" t="str">
        <f t="shared" si="9"/>
        <v>vis</v>
      </c>
      <c r="E60" s="48">
        <f>VLOOKUP(C60,'Active 1'!C$21:E$971,3,FALSE)</f>
        <v>-479.00316799225953</v>
      </c>
      <c r="F60" s="5" t="s">
        <v>31</v>
      </c>
      <c r="G60" s="18" t="str">
        <f t="shared" si="10"/>
        <v>36001.593</v>
      </c>
      <c r="H60" s="40">
        <f t="shared" si="11"/>
        <v>-479</v>
      </c>
      <c r="I60" s="49" t="s">
        <v>177</v>
      </c>
      <c r="J60" s="50" t="s">
        <v>178</v>
      </c>
      <c r="K60" s="49">
        <v>-479</v>
      </c>
      <c r="L60" s="49" t="s">
        <v>179</v>
      </c>
      <c r="M60" s="50" t="s">
        <v>80</v>
      </c>
      <c r="N60" s="50"/>
      <c r="O60" s="51" t="s">
        <v>180</v>
      </c>
      <c r="P60" s="51" t="s">
        <v>181</v>
      </c>
    </row>
    <row r="61" spans="1:16" ht="12.75" customHeight="1" thickBot="1" x14ac:dyDescent="0.25">
      <c r="A61" s="40" t="str">
        <f t="shared" si="6"/>
        <v> AA 8.187 </v>
      </c>
      <c r="B61" s="5" t="str">
        <f t="shared" si="7"/>
        <v>II</v>
      </c>
      <c r="C61" s="40">
        <f t="shared" si="8"/>
        <v>36008.572999999997</v>
      </c>
      <c r="D61" s="18" t="str">
        <f t="shared" si="9"/>
        <v>vis</v>
      </c>
      <c r="E61" s="48">
        <f>VLOOKUP(C61,'Active 1'!C$21:E$971,3,FALSE)</f>
        <v>-478.54808287243486</v>
      </c>
      <c r="F61" s="5" t="s">
        <v>31</v>
      </c>
      <c r="G61" s="18" t="str">
        <f t="shared" si="10"/>
        <v>36008.573</v>
      </c>
      <c r="H61" s="40">
        <f t="shared" si="11"/>
        <v>-478.5</v>
      </c>
      <c r="I61" s="49" t="s">
        <v>182</v>
      </c>
      <c r="J61" s="50" t="s">
        <v>183</v>
      </c>
      <c r="K61" s="49">
        <v>-478.5</v>
      </c>
      <c r="L61" s="49" t="s">
        <v>184</v>
      </c>
      <c r="M61" s="50" t="s">
        <v>80</v>
      </c>
      <c r="N61" s="50"/>
      <c r="O61" s="51" t="s">
        <v>180</v>
      </c>
      <c r="P61" s="51" t="s">
        <v>181</v>
      </c>
    </row>
    <row r="62" spans="1:16" ht="12.75" customHeight="1" thickBot="1" x14ac:dyDescent="0.25">
      <c r="A62" s="40" t="str">
        <f t="shared" si="6"/>
        <v> PZ 15.521 </v>
      </c>
      <c r="B62" s="5" t="str">
        <f t="shared" si="7"/>
        <v>I</v>
      </c>
      <c r="C62" s="40">
        <f t="shared" si="8"/>
        <v>36078.375</v>
      </c>
      <c r="D62" s="18" t="str">
        <f t="shared" si="9"/>
        <v>vis</v>
      </c>
      <c r="E62" s="48">
        <f>VLOOKUP(C62,'Active 1'!C$21:E$971,3,FALSE)</f>
        <v>-473.99710127730259</v>
      </c>
      <c r="F62" s="5" t="s">
        <v>31</v>
      </c>
      <c r="G62" s="18" t="str">
        <f t="shared" si="10"/>
        <v>36078.375</v>
      </c>
      <c r="H62" s="40">
        <f t="shared" si="11"/>
        <v>-474</v>
      </c>
      <c r="I62" s="49" t="s">
        <v>185</v>
      </c>
      <c r="J62" s="50" t="s">
        <v>186</v>
      </c>
      <c r="K62" s="49">
        <v>-474</v>
      </c>
      <c r="L62" s="49" t="s">
        <v>187</v>
      </c>
      <c r="M62" s="50" t="s">
        <v>84</v>
      </c>
      <c r="N62" s="50"/>
      <c r="O62" s="51" t="s">
        <v>188</v>
      </c>
      <c r="P62" s="51" t="s">
        <v>189</v>
      </c>
    </row>
    <row r="63" spans="1:16" ht="12.75" customHeight="1" thickBot="1" x14ac:dyDescent="0.25">
      <c r="A63" s="40" t="str">
        <f t="shared" si="6"/>
        <v> AA 11.52 </v>
      </c>
      <c r="B63" s="5" t="str">
        <f t="shared" si="7"/>
        <v>I</v>
      </c>
      <c r="C63" s="40">
        <f t="shared" si="8"/>
        <v>36124.273000000001</v>
      </c>
      <c r="D63" s="18" t="str">
        <f t="shared" si="9"/>
        <v>vis</v>
      </c>
      <c r="E63" s="48">
        <f>VLOOKUP(C63,'Active 1'!C$21:E$971,3,FALSE)</f>
        <v>-471.00462322146791</v>
      </c>
      <c r="F63" s="5" t="s">
        <v>31</v>
      </c>
      <c r="G63" s="18" t="str">
        <f t="shared" si="10"/>
        <v>36124.273</v>
      </c>
      <c r="H63" s="40">
        <f t="shared" si="11"/>
        <v>-471</v>
      </c>
      <c r="I63" s="49" t="s">
        <v>190</v>
      </c>
      <c r="J63" s="50" t="s">
        <v>191</v>
      </c>
      <c r="K63" s="49">
        <v>-471</v>
      </c>
      <c r="L63" s="49" t="s">
        <v>192</v>
      </c>
      <c r="M63" s="50" t="s">
        <v>80</v>
      </c>
      <c r="N63" s="50"/>
      <c r="O63" s="51" t="s">
        <v>173</v>
      </c>
      <c r="P63" s="51" t="s">
        <v>91</v>
      </c>
    </row>
    <row r="64" spans="1:16" ht="12.75" customHeight="1" thickBot="1" x14ac:dyDescent="0.25">
      <c r="A64" s="40" t="str">
        <f t="shared" si="6"/>
        <v> AA 11.52 </v>
      </c>
      <c r="B64" s="5" t="str">
        <f t="shared" si="7"/>
        <v>II</v>
      </c>
      <c r="C64" s="40">
        <f t="shared" si="8"/>
        <v>36361.343999999997</v>
      </c>
      <c r="D64" s="18" t="str">
        <f t="shared" si="9"/>
        <v>vis</v>
      </c>
      <c r="E64" s="48">
        <f>VLOOKUP(C64,'Active 1'!C$21:E$971,3,FALSE)</f>
        <v>-455.54796355928733</v>
      </c>
      <c r="F64" s="5" t="s">
        <v>31</v>
      </c>
      <c r="G64" s="18" t="str">
        <f t="shared" si="10"/>
        <v>36361.344</v>
      </c>
      <c r="H64" s="40">
        <f t="shared" si="11"/>
        <v>-455.5</v>
      </c>
      <c r="I64" s="49" t="s">
        <v>193</v>
      </c>
      <c r="J64" s="50" t="s">
        <v>194</v>
      </c>
      <c r="K64" s="49">
        <v>-455.5</v>
      </c>
      <c r="L64" s="49" t="s">
        <v>195</v>
      </c>
      <c r="M64" s="50" t="s">
        <v>84</v>
      </c>
      <c r="N64" s="50"/>
      <c r="O64" s="51" t="s">
        <v>173</v>
      </c>
      <c r="P64" s="51" t="s">
        <v>91</v>
      </c>
    </row>
    <row r="65" spans="1:16" ht="12.75" customHeight="1" thickBot="1" x14ac:dyDescent="0.25">
      <c r="A65" s="40" t="str">
        <f t="shared" si="6"/>
        <v> PZ 15.521 </v>
      </c>
      <c r="B65" s="5" t="str">
        <f t="shared" si="7"/>
        <v>I</v>
      </c>
      <c r="C65" s="40">
        <f t="shared" si="8"/>
        <v>36400.468000000001</v>
      </c>
      <c r="D65" s="18" t="str">
        <f t="shared" si="9"/>
        <v>vis</v>
      </c>
      <c r="E65" s="48">
        <f>VLOOKUP(C65,'Active 1'!C$21:E$971,3,FALSE)</f>
        <v>-452.99713974438288</v>
      </c>
      <c r="F65" s="5" t="s">
        <v>31</v>
      </c>
      <c r="G65" s="18" t="str">
        <f t="shared" si="10"/>
        <v>36400.468</v>
      </c>
      <c r="H65" s="40">
        <f t="shared" si="11"/>
        <v>-453</v>
      </c>
      <c r="I65" s="49" t="s">
        <v>196</v>
      </c>
      <c r="J65" s="50" t="s">
        <v>197</v>
      </c>
      <c r="K65" s="49">
        <v>-453</v>
      </c>
      <c r="L65" s="49" t="s">
        <v>187</v>
      </c>
      <c r="M65" s="50" t="s">
        <v>84</v>
      </c>
      <c r="N65" s="50"/>
      <c r="O65" s="51" t="s">
        <v>188</v>
      </c>
      <c r="P65" s="51" t="s">
        <v>189</v>
      </c>
    </row>
    <row r="66" spans="1:16" ht="12.75" customHeight="1" thickBot="1" x14ac:dyDescent="0.25">
      <c r="A66" s="40" t="str">
        <f t="shared" si="6"/>
        <v> AA 11.52 </v>
      </c>
      <c r="B66" s="5" t="str">
        <f t="shared" si="7"/>
        <v>I</v>
      </c>
      <c r="C66" s="40">
        <f t="shared" si="8"/>
        <v>36446.375999999997</v>
      </c>
      <c r="D66" s="18" t="str">
        <f t="shared" si="9"/>
        <v>vis</v>
      </c>
      <c r="E66" s="48">
        <f>VLOOKUP(C66,'Active 1'!C$21:E$971,3,FALSE)</f>
        <v>-450.00400970413619</v>
      </c>
      <c r="F66" s="5" t="s">
        <v>31</v>
      </c>
      <c r="G66" s="18" t="str">
        <f t="shared" si="10"/>
        <v>36446.376</v>
      </c>
      <c r="H66" s="40">
        <f t="shared" si="11"/>
        <v>-450</v>
      </c>
      <c r="I66" s="49" t="s">
        <v>198</v>
      </c>
      <c r="J66" s="50" t="s">
        <v>199</v>
      </c>
      <c r="K66" s="49">
        <v>-450</v>
      </c>
      <c r="L66" s="49" t="s">
        <v>200</v>
      </c>
      <c r="M66" s="50" t="s">
        <v>80</v>
      </c>
      <c r="N66" s="50"/>
      <c r="O66" s="51" t="s">
        <v>173</v>
      </c>
      <c r="P66" s="51" t="s">
        <v>91</v>
      </c>
    </row>
    <row r="67" spans="1:16" ht="12.75" customHeight="1" thickBot="1" x14ac:dyDescent="0.25">
      <c r="A67" s="40" t="str">
        <f t="shared" si="6"/>
        <v> AA 8.187 </v>
      </c>
      <c r="B67" s="5" t="str">
        <f t="shared" si="7"/>
        <v>II</v>
      </c>
      <c r="C67" s="40">
        <f t="shared" si="8"/>
        <v>36499.370000000003</v>
      </c>
      <c r="D67" s="18" t="str">
        <f t="shared" si="9"/>
        <v>vis</v>
      </c>
      <c r="E67" s="48">
        <f>VLOOKUP(C67,'Active 1'!C$21:E$971,3,FALSE)</f>
        <v>-446.54888350929286</v>
      </c>
      <c r="F67" s="5" t="s">
        <v>31</v>
      </c>
      <c r="G67" s="18" t="str">
        <f t="shared" si="10"/>
        <v>36499.370</v>
      </c>
      <c r="H67" s="40">
        <f t="shared" si="11"/>
        <v>-446.5</v>
      </c>
      <c r="I67" s="49" t="s">
        <v>201</v>
      </c>
      <c r="J67" s="50" t="s">
        <v>202</v>
      </c>
      <c r="K67" s="49">
        <v>-446.5</v>
      </c>
      <c r="L67" s="49" t="s">
        <v>203</v>
      </c>
      <c r="M67" s="50" t="s">
        <v>84</v>
      </c>
      <c r="N67" s="50"/>
      <c r="O67" s="51" t="s">
        <v>173</v>
      </c>
      <c r="P67" s="51" t="s">
        <v>181</v>
      </c>
    </row>
    <row r="68" spans="1:16" ht="12.75" customHeight="1" thickBot="1" x14ac:dyDescent="0.25">
      <c r="A68" s="40" t="str">
        <f t="shared" si="6"/>
        <v> PZ 15.521 </v>
      </c>
      <c r="B68" s="5" t="str">
        <f t="shared" si="7"/>
        <v>I</v>
      </c>
      <c r="C68" s="40">
        <f t="shared" si="8"/>
        <v>37136.493000000002</v>
      </c>
      <c r="D68" s="18" t="str">
        <f t="shared" si="9"/>
        <v>vis</v>
      </c>
      <c r="E68" s="48">
        <f>VLOOKUP(C68,'Active 1'!C$21:E$971,3,FALSE)</f>
        <v>-405.00945703390101</v>
      </c>
      <c r="F68" s="5" t="s">
        <v>31</v>
      </c>
      <c r="G68" s="18" t="str">
        <f t="shared" si="10"/>
        <v>37136.493</v>
      </c>
      <c r="H68" s="40">
        <f t="shared" si="11"/>
        <v>-405</v>
      </c>
      <c r="I68" s="49" t="s">
        <v>204</v>
      </c>
      <c r="J68" s="50" t="s">
        <v>205</v>
      </c>
      <c r="K68" s="49">
        <v>-405</v>
      </c>
      <c r="L68" s="49" t="s">
        <v>206</v>
      </c>
      <c r="M68" s="50" t="s">
        <v>84</v>
      </c>
      <c r="N68" s="50"/>
      <c r="O68" s="51" t="s">
        <v>188</v>
      </c>
      <c r="P68" s="51" t="s">
        <v>189</v>
      </c>
    </row>
    <row r="69" spans="1:16" ht="12.75" customHeight="1" thickBot="1" x14ac:dyDescent="0.25">
      <c r="A69" s="40" t="str">
        <f t="shared" si="6"/>
        <v> PZ 15.521 </v>
      </c>
      <c r="B69" s="5" t="str">
        <f t="shared" si="7"/>
        <v>I</v>
      </c>
      <c r="C69" s="40">
        <f t="shared" si="8"/>
        <v>37167.387000000002</v>
      </c>
      <c r="D69" s="18" t="str">
        <f t="shared" si="9"/>
        <v>vis</v>
      </c>
      <c r="E69" s="48">
        <f>VLOOKUP(C69,'Active 1'!C$21:E$971,3,FALSE)</f>
        <v>-402.99521639036635</v>
      </c>
      <c r="F69" s="5" t="s">
        <v>31</v>
      </c>
      <c r="G69" s="18" t="str">
        <f t="shared" si="10"/>
        <v>37167.387</v>
      </c>
      <c r="H69" s="40">
        <f t="shared" si="11"/>
        <v>-403</v>
      </c>
      <c r="I69" s="49" t="s">
        <v>207</v>
      </c>
      <c r="J69" s="50" t="s">
        <v>208</v>
      </c>
      <c r="K69" s="49">
        <v>-403</v>
      </c>
      <c r="L69" s="49" t="s">
        <v>209</v>
      </c>
      <c r="M69" s="50" t="s">
        <v>84</v>
      </c>
      <c r="N69" s="50"/>
      <c r="O69" s="51" t="s">
        <v>188</v>
      </c>
      <c r="P69" s="51" t="s">
        <v>189</v>
      </c>
    </row>
    <row r="70" spans="1:16" ht="12.75" customHeight="1" thickBot="1" x14ac:dyDescent="0.25">
      <c r="A70" s="40" t="str">
        <f t="shared" si="6"/>
        <v> PZ 15.521 </v>
      </c>
      <c r="B70" s="5" t="str">
        <f t="shared" si="7"/>
        <v>I</v>
      </c>
      <c r="C70" s="40">
        <f t="shared" si="8"/>
        <v>37903.372000000003</v>
      </c>
      <c r="D70" s="18" t="str">
        <f t="shared" si="9"/>
        <v>vis</v>
      </c>
      <c r="E70" s="48">
        <f>VLOOKUP(C70,'Active 1'!C$21:E$971,3,FALSE)</f>
        <v>-355.01014161753398</v>
      </c>
      <c r="F70" s="5" t="s">
        <v>31</v>
      </c>
      <c r="G70" s="18" t="str">
        <f t="shared" si="10"/>
        <v>37903.372</v>
      </c>
      <c r="H70" s="40">
        <f t="shared" si="11"/>
        <v>-355</v>
      </c>
      <c r="I70" s="49" t="s">
        <v>210</v>
      </c>
      <c r="J70" s="50" t="s">
        <v>211</v>
      </c>
      <c r="K70" s="49">
        <v>-355</v>
      </c>
      <c r="L70" s="49" t="s">
        <v>212</v>
      </c>
      <c r="M70" s="50" t="s">
        <v>84</v>
      </c>
      <c r="N70" s="50"/>
      <c r="O70" s="51" t="s">
        <v>188</v>
      </c>
      <c r="P70" s="51" t="s">
        <v>189</v>
      </c>
    </row>
    <row r="71" spans="1:16" ht="12.75" customHeight="1" thickBot="1" x14ac:dyDescent="0.25">
      <c r="A71" s="40" t="str">
        <f t="shared" si="6"/>
        <v> PZ 15.521 </v>
      </c>
      <c r="B71" s="5" t="str">
        <f t="shared" si="7"/>
        <v>I</v>
      </c>
      <c r="C71" s="40">
        <f t="shared" si="8"/>
        <v>38210.451999999997</v>
      </c>
      <c r="D71" s="18" t="str">
        <f t="shared" si="9"/>
        <v>vis</v>
      </c>
      <c r="E71" s="48">
        <f>VLOOKUP(C71,'Active 1'!C$21:E$971,3,FALSE)</f>
        <v>-334.98900428288573</v>
      </c>
      <c r="F71" s="5" t="s">
        <v>31</v>
      </c>
      <c r="G71" s="18" t="str">
        <f t="shared" si="10"/>
        <v>38210.452</v>
      </c>
      <c r="H71" s="40">
        <f t="shared" si="11"/>
        <v>-335</v>
      </c>
      <c r="I71" s="49" t="s">
        <v>213</v>
      </c>
      <c r="J71" s="50" t="s">
        <v>214</v>
      </c>
      <c r="K71" s="49">
        <v>-335</v>
      </c>
      <c r="L71" s="49" t="s">
        <v>215</v>
      </c>
      <c r="M71" s="50" t="s">
        <v>84</v>
      </c>
      <c r="N71" s="50"/>
      <c r="O71" s="51" t="s">
        <v>188</v>
      </c>
      <c r="P71" s="51" t="s">
        <v>189</v>
      </c>
    </row>
    <row r="72" spans="1:16" ht="12.75" customHeight="1" thickBot="1" x14ac:dyDescent="0.25">
      <c r="A72" s="40" t="str">
        <f t="shared" si="6"/>
        <v> BBS 99 </v>
      </c>
      <c r="B72" s="5" t="str">
        <f t="shared" si="7"/>
        <v>II</v>
      </c>
      <c r="C72" s="40">
        <f t="shared" si="8"/>
        <v>48616.34</v>
      </c>
      <c r="D72" s="18" t="str">
        <f t="shared" si="9"/>
        <v>vis</v>
      </c>
      <c r="E72" s="48">
        <f>VLOOKUP(C72,'Active 1'!C$21:E$971,3,FALSE)</f>
        <v>343.45867299004595</v>
      </c>
      <c r="F72" s="5" t="s">
        <v>31</v>
      </c>
      <c r="G72" s="18" t="str">
        <f t="shared" si="10"/>
        <v>48616.34</v>
      </c>
      <c r="H72" s="40">
        <f t="shared" si="11"/>
        <v>343.5</v>
      </c>
      <c r="I72" s="49" t="s">
        <v>236</v>
      </c>
      <c r="J72" s="50" t="s">
        <v>237</v>
      </c>
      <c r="K72" s="49">
        <v>343.5</v>
      </c>
      <c r="L72" s="49" t="s">
        <v>238</v>
      </c>
      <c r="M72" s="50" t="s">
        <v>224</v>
      </c>
      <c r="N72" s="50" t="s">
        <v>225</v>
      </c>
      <c r="O72" s="51" t="s">
        <v>219</v>
      </c>
      <c r="P72" s="51" t="s">
        <v>239</v>
      </c>
    </row>
    <row r="73" spans="1:16" ht="12.75" customHeight="1" thickBot="1" x14ac:dyDescent="0.25">
      <c r="A73" s="40" t="str">
        <f t="shared" si="6"/>
        <v> BBS 110/120 </v>
      </c>
      <c r="B73" s="5" t="str">
        <f t="shared" si="7"/>
        <v>II</v>
      </c>
      <c r="C73" s="40">
        <f t="shared" si="8"/>
        <v>49935.393700000001</v>
      </c>
      <c r="D73" s="18" t="str">
        <f t="shared" si="9"/>
        <v>vis</v>
      </c>
      <c r="E73" s="48">
        <f>VLOOKUP(C73,'Active 1'!C$21:E$971,3,FALSE)</f>
        <v>429.45891813618528</v>
      </c>
      <c r="F73" s="5" t="s">
        <v>31</v>
      </c>
      <c r="G73" s="18" t="str">
        <f t="shared" si="10"/>
        <v>49935.3937</v>
      </c>
      <c r="H73" s="40">
        <f t="shared" si="11"/>
        <v>429.5</v>
      </c>
      <c r="I73" s="49" t="s">
        <v>274</v>
      </c>
      <c r="J73" s="50" t="s">
        <v>275</v>
      </c>
      <c r="K73" s="49">
        <v>429.5</v>
      </c>
      <c r="L73" s="49" t="s">
        <v>276</v>
      </c>
      <c r="M73" s="50" t="s">
        <v>224</v>
      </c>
      <c r="N73" s="50" t="s">
        <v>225</v>
      </c>
      <c r="O73" s="51" t="s">
        <v>219</v>
      </c>
      <c r="P73" s="51" t="s">
        <v>277</v>
      </c>
    </row>
    <row r="74" spans="1:16" ht="12.75" customHeight="1" thickBot="1" x14ac:dyDescent="0.25">
      <c r="A74" s="40" t="str">
        <f t="shared" si="6"/>
        <v>OEJV 0094 </v>
      </c>
      <c r="B74" s="5" t="str">
        <f t="shared" si="7"/>
        <v>II</v>
      </c>
      <c r="C74" s="40">
        <f t="shared" si="8"/>
        <v>54659.467400000001</v>
      </c>
      <c r="D74" s="18" t="str">
        <f t="shared" si="9"/>
        <v>vis</v>
      </c>
      <c r="E74" s="48" t="e">
        <f>VLOOKUP(C74,'Active 1'!C$21:E$971,3,FALSE)</f>
        <v>#N/A</v>
      </c>
      <c r="F74" s="5" t="s">
        <v>31</v>
      </c>
      <c r="G74" s="18" t="str">
        <f t="shared" si="10"/>
        <v>54659.4674</v>
      </c>
      <c r="H74" s="40">
        <f t="shared" si="11"/>
        <v>737.5</v>
      </c>
      <c r="I74" s="49" t="s">
        <v>306</v>
      </c>
      <c r="J74" s="50" t="s">
        <v>307</v>
      </c>
      <c r="K74" s="49">
        <v>737.5</v>
      </c>
      <c r="L74" s="49" t="s">
        <v>308</v>
      </c>
      <c r="M74" s="50" t="s">
        <v>302</v>
      </c>
      <c r="N74" s="50" t="s">
        <v>303</v>
      </c>
      <c r="O74" s="51" t="s">
        <v>309</v>
      </c>
      <c r="P74" s="52" t="s">
        <v>310</v>
      </c>
    </row>
    <row r="75" spans="1:16" ht="12.75" customHeight="1" thickBot="1" x14ac:dyDescent="0.25">
      <c r="A75" s="40" t="str">
        <f t="shared" si="6"/>
        <v>OEJV 0094 </v>
      </c>
      <c r="B75" s="5" t="str">
        <f t="shared" si="7"/>
        <v>II</v>
      </c>
      <c r="C75" s="40">
        <f t="shared" si="8"/>
        <v>54659.467600000004</v>
      </c>
      <c r="D75" s="18" t="str">
        <f t="shared" si="9"/>
        <v>vis</v>
      </c>
      <c r="E75" s="48" t="e">
        <f>VLOOKUP(C75,'Active 1'!C$21:E$971,3,FALSE)</f>
        <v>#N/A</v>
      </c>
      <c r="F75" s="5" t="s">
        <v>31</v>
      </c>
      <c r="G75" s="18" t="str">
        <f t="shared" si="10"/>
        <v>54659.4676</v>
      </c>
      <c r="H75" s="40">
        <f t="shared" si="11"/>
        <v>737.5</v>
      </c>
      <c r="I75" s="49" t="s">
        <v>311</v>
      </c>
      <c r="J75" s="50" t="s">
        <v>307</v>
      </c>
      <c r="K75" s="49">
        <v>737.5</v>
      </c>
      <c r="L75" s="49" t="s">
        <v>312</v>
      </c>
      <c r="M75" s="50" t="s">
        <v>302</v>
      </c>
      <c r="N75" s="50" t="s">
        <v>51</v>
      </c>
      <c r="O75" s="51" t="s">
        <v>309</v>
      </c>
      <c r="P75" s="52" t="s">
        <v>310</v>
      </c>
    </row>
    <row r="76" spans="1:16" ht="12.75" customHeight="1" thickBot="1" x14ac:dyDescent="0.25">
      <c r="A76" s="40" t="str">
        <f t="shared" si="6"/>
        <v>BAVM 212 </v>
      </c>
      <c r="B76" s="5" t="str">
        <f t="shared" si="7"/>
        <v>I</v>
      </c>
      <c r="C76" s="40">
        <f t="shared" si="8"/>
        <v>55066.574000000001</v>
      </c>
      <c r="D76" s="18" t="str">
        <f t="shared" si="9"/>
        <v>vis</v>
      </c>
      <c r="E76" s="48">
        <f>VLOOKUP(C76,'Active 1'!C$21:E$971,3,FALSE)</f>
        <v>764.00387539534711</v>
      </c>
      <c r="F76" s="5" t="s">
        <v>31</v>
      </c>
      <c r="G76" s="18" t="str">
        <f t="shared" si="10"/>
        <v>55066.5740</v>
      </c>
      <c r="H76" s="40">
        <f t="shared" si="11"/>
        <v>764</v>
      </c>
      <c r="I76" s="49" t="s">
        <v>313</v>
      </c>
      <c r="J76" s="50" t="s">
        <v>314</v>
      </c>
      <c r="K76" s="49">
        <v>764</v>
      </c>
      <c r="L76" s="49" t="s">
        <v>315</v>
      </c>
      <c r="M76" s="50" t="s">
        <v>302</v>
      </c>
      <c r="N76" s="50">
        <v>0</v>
      </c>
      <c r="O76" s="51" t="s">
        <v>248</v>
      </c>
      <c r="P76" s="52" t="s">
        <v>316</v>
      </c>
    </row>
    <row r="77" spans="1:16" ht="12.75" customHeight="1" thickBot="1" x14ac:dyDescent="0.25">
      <c r="A77" s="40" t="str">
        <f t="shared" si="6"/>
        <v>BAVM 225 </v>
      </c>
      <c r="B77" s="5" t="str">
        <f t="shared" si="7"/>
        <v>II</v>
      </c>
      <c r="C77" s="40">
        <f t="shared" si="8"/>
        <v>55794.473400000003</v>
      </c>
      <c r="D77" s="18" t="str">
        <f t="shared" si="9"/>
        <v>vis</v>
      </c>
      <c r="E77" s="48">
        <f>VLOOKUP(C77,'Active 1'!C$21:E$971,3,FALSE)</f>
        <v>811.46178165172444</v>
      </c>
      <c r="F77" s="5" t="s">
        <v>31</v>
      </c>
      <c r="G77" s="18" t="str">
        <f t="shared" si="10"/>
        <v>55794.4734</v>
      </c>
      <c r="H77" s="40">
        <f t="shared" si="11"/>
        <v>811.5</v>
      </c>
      <c r="I77" s="49" t="s">
        <v>327</v>
      </c>
      <c r="J77" s="50" t="s">
        <v>328</v>
      </c>
      <c r="K77" s="49">
        <v>811.5</v>
      </c>
      <c r="L77" s="49" t="s">
        <v>329</v>
      </c>
      <c r="M77" s="50" t="s">
        <v>302</v>
      </c>
      <c r="N77" s="50" t="s">
        <v>31</v>
      </c>
      <c r="O77" s="51" t="s">
        <v>248</v>
      </c>
      <c r="P77" s="52" t="s">
        <v>330</v>
      </c>
    </row>
    <row r="78" spans="1:16" x14ac:dyDescent="0.2">
      <c r="B78" s="5"/>
      <c r="F78" s="5"/>
    </row>
    <row r="79" spans="1:16" x14ac:dyDescent="0.2">
      <c r="B79" s="5"/>
      <c r="F79" s="5"/>
    </row>
    <row r="80" spans="1:1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</sheetData>
  <phoneticPr fontId="7" type="noConversion"/>
  <hyperlinks>
    <hyperlink ref="P15" r:id="rId1" display="http://www.konkoly.hu/cgi-bin/IBVS?3286" xr:uid="{00000000-0004-0000-0100-000000000000}"/>
    <hyperlink ref="P17" r:id="rId2" display="http://www.bav-astro.de/sfs/BAVM_link.php?BAVMnr=68" xr:uid="{00000000-0004-0000-0100-000001000000}"/>
    <hyperlink ref="P18" r:id="rId3" display="http://www.bav-astro.de/sfs/BAVM_link.php?BAVMnr=68" xr:uid="{00000000-0004-0000-0100-000002000000}"/>
    <hyperlink ref="P19" r:id="rId4" display="http://www.konkoly.hu/cgi-bin/IBVS?4194" xr:uid="{00000000-0004-0000-0100-000003000000}"/>
    <hyperlink ref="P20" r:id="rId5" display="http://www.konkoly.hu/cgi-bin/IBVS?4217" xr:uid="{00000000-0004-0000-0100-000004000000}"/>
    <hyperlink ref="P21" r:id="rId6" display="http://www.konkoly.hu/cgi-bin/IBVS?4362" xr:uid="{00000000-0004-0000-0100-000005000000}"/>
    <hyperlink ref="P22" r:id="rId7" display="http://www.konkoly.hu/cgi-bin/IBVS?4597" xr:uid="{00000000-0004-0000-0100-000006000000}"/>
    <hyperlink ref="P24" r:id="rId8" display="http://www.konkoly.hu/cgi-bin/IBVS?4680" xr:uid="{00000000-0004-0000-0100-000007000000}"/>
    <hyperlink ref="P25" r:id="rId9" display="http://www.konkoly.hu/cgi-bin/IBVS?4680" xr:uid="{00000000-0004-0000-0100-000008000000}"/>
    <hyperlink ref="P27" r:id="rId10" display="http://www.konkoly.hu/cgi-bin/IBVS?5745" xr:uid="{00000000-0004-0000-0100-000009000000}"/>
    <hyperlink ref="P28" r:id="rId11" display="http://var.astro.cz/oejv/issues/oejv0074.pdf" xr:uid="{00000000-0004-0000-0100-00000A000000}"/>
    <hyperlink ref="P74" r:id="rId12" display="http://var.astro.cz/oejv/issues/oejv0094.pdf" xr:uid="{00000000-0004-0000-0100-00000B000000}"/>
    <hyperlink ref="P75" r:id="rId13" display="http://var.astro.cz/oejv/issues/oejv0094.pdf" xr:uid="{00000000-0004-0000-0100-00000C000000}"/>
    <hyperlink ref="P76" r:id="rId14" display="http://www.bav-astro.de/sfs/BAVM_link.php?BAVMnr=212" xr:uid="{00000000-0004-0000-0100-00000D000000}"/>
    <hyperlink ref="P29" r:id="rId15" display="http://var.astro.cz/oejv/issues/oejv0160.pdf" xr:uid="{00000000-0004-0000-0100-00000E000000}"/>
    <hyperlink ref="P30" r:id="rId16" display="http://www.bav-astro.de/sfs/BAVM_link.php?BAVMnr=220" xr:uid="{00000000-0004-0000-0100-00000F000000}"/>
    <hyperlink ref="P31" r:id="rId17" display="http://var.astro.cz/oejv/issues/oejv0160.pdf" xr:uid="{00000000-0004-0000-0100-000010000000}"/>
    <hyperlink ref="P77" r:id="rId18" display="http://www.bav-astro.de/sfs/BAVM_link.php?BAVMnr=225" xr:uid="{00000000-0004-0000-0100-000011000000}"/>
    <hyperlink ref="P32" r:id="rId19" display="http://www.bav-astro.de/sfs/BAVM_link.php?BAVMnr=238" xr:uid="{00000000-0004-0000-0100-000012000000}"/>
    <hyperlink ref="P33" r:id="rId20" display="http://www.bav-astro.de/sfs/BAVM_link.php?BAVMnr=239" xr:uid="{00000000-0004-0000-0100-000013000000}"/>
    <hyperlink ref="P12" r:id="rId21" display="http://www.bav-astro.de/sfs/BAVM_link.php?BAVMnr=241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2024-01-31T04:14:29Z</dcterms:modified>
</cp:coreProperties>
</file>