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A2FD76-5161-48A3-A985-4936AB6E00E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Q24" i="1"/>
  <c r="G13" i="2"/>
  <c r="C13" i="2"/>
  <c r="G12" i="2"/>
  <c r="C12" i="2"/>
  <c r="E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Q22" i="1"/>
  <c r="Q23" i="1"/>
  <c r="C8" i="1"/>
  <c r="C7" i="1"/>
  <c r="E23" i="1"/>
  <c r="F23" i="1"/>
  <c r="G23" i="1"/>
  <c r="J23" i="1"/>
  <c r="E21" i="1"/>
  <c r="F21" i="1"/>
  <c r="C17" i="1"/>
  <c r="Q21" i="1"/>
  <c r="E13" i="2"/>
  <c r="G21" i="1"/>
  <c r="H21" i="1"/>
  <c r="E22" i="1"/>
  <c r="F22" i="1"/>
  <c r="G22" i="1"/>
  <c r="E24" i="1"/>
  <c r="F24" i="1"/>
  <c r="G24" i="1"/>
  <c r="K24" i="1"/>
  <c r="J22" i="1"/>
  <c r="E11" i="2"/>
  <c r="C12" i="1"/>
  <c r="C11" i="1"/>
  <c r="O22" i="1" l="1"/>
  <c r="O24" i="1"/>
  <c r="O21" i="1"/>
  <c r="O23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<sst xmlns="http://schemas.openxmlformats.org/spreadsheetml/2006/main" count="90" uniqueCount="70">
  <si>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</si>
  <si>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</si>
  <si>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</si>
  <si>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</si>
  <si>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</si>
  <si>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</si>
  <si>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</si>
  <si>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</si>
  <si>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</si>
  <si>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</si>
  <si>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</si>
  <si>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</si>
  <si>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</si>
  <si>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</si>
  <si>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</si>
  <si>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</si>
  <si>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</si>
  <si>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</si>
  <si>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</si>
  <si>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</si>
  <si>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</si>
  <si>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</si>
  <si>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</si>
  <si>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</si>
  <si>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</si>
  <si>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</si>
  <si>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</si>
  <si>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</si>
  <si>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</si>
  <si>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</si>
  <si>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IBVS 5731</t>
  </si>
  <si>
    <t>EA/SD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</si>
  <si>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</si>
  <si>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</si>
  <si>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</si>
  <si>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</si>
  <si>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</si>
  <si>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</si>
  <si>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</si>
  <si>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</si>
  <si>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</si>
  <si>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</si>
  <si>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</si>
  <si>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2453619.5305 </t>
  </si>
  <si>
    <t> 06.09.2005 00:43 </t>
  </si>
  <si>
    <t> 0.2118 </t>
  </si>
  <si>
    <t>C </t>
  </si>
  <si>
    <t>-I</t>
  </si>
  <si>
    <t> F. Agerer </t>
  </si>
  <si>
    <t>BAVM 178 </t>
  </si>
  <si>
    <t>2453621.4891 </t>
  </si>
  <si>
    <t> 07.09.2005 23:44 </t>
  </si>
  <si>
    <t>13066</t>
  </si>
  <si>
    <t> 0.2148 </t>
  </si>
  <si>
    <t>2455074.5098 </t>
  </si>
  <si>
    <t> 31.08.2009 00:14 </t>
  </si>
  <si>
    <t>13809</t>
  </si>
  <si>
    <t> 0.2173 </t>
  </si>
  <si>
    <t> F.Agerer </t>
  </si>
  <si>
    <t>BAVM 212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</si>
  <si>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</si>
  <si>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</si>
  <si>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</si>
  <si>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</si>
  <si>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</si>
  <si>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</si>
  <si>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</si>
  <si>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</si>
  <si>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</si>
  <si>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V0587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</si>
</sst>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1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1" fillId="2" borderId="11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17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V0587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A-4960-A02A-86748756D8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1A-4960-A02A-86748756D8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0.21184999999968568</c:v>
                </c:pt>
                <c:pt idx="2">
                  <c:v>0.21483999999327352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1A-4960-A02A-86748756D8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0.21730999999272171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1A-4960-A02A-86748756D8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1A-4960-A02A-86748756D8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1A-4960-A02A-86748756D8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1.9E-3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1A-4960-A02A-86748756D8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13065</c:v>
                </c:pt>
                <c:pt idx="2">
                  <c:v>13066</c:v>
                </c:pt>
                <c:pt idx="3">
                  <c:v>13809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0.14361427954880546</c:v>
                </c:pt>
                <c:pt idx="1">
                  <c:v>0.21334132794383526</c:v>
                </c:pt>
                <c:pt idx="2">
                  <c:v>0.21334666487827039</c:v>
                </c:pt>
                <c:pt idx="3">
                  <c:v>0.21731200716357518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1A-4960-A02A-86748756D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034272"/>
        <c:axId val="1"/>
      </c:scatterChart>
      <c:valAx>
        <c:axId val="72203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03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21D73D-673B-6C6D-A6F1-DECEFFBC9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5" t="s">
        <v>69</v>
      </c>
    </row>
    <row r="2" spans="1:6" x14ac:dyDescent="0.2">
      <c r="A2" t="s">
        <v>25</v>
      </c>
      <c r="B2" s="19" t="s">
        <v>31</v>
      </c>
      <c r="C2" s="5"/>
      <c r="D2" s="5"/>
    </row>
    <row r="3" spans="1:6" ht="13.5" thickBot="1" x14ac:dyDescent="0.25"/>
    <row r="4" spans="1:6" ht="14.25" thickTop="1" thickBot="1" x14ac:dyDescent="0.25">
      <c r="A4" s="7" t="s">
        <v>0</v>
      </c>
      <c r="C4" s="12">
        <v>28069.274000000001</v>
      </c>
      <c r="D4" s="13">
        <v>1.9556100000000001</v>
      </c>
    </row>
    <row r="5" spans="1:6" x14ac:dyDescent="0.2">
      <c r="A5" s="35" t="s">
        <v>61</v>
      </c>
      <c r="B5" s="19"/>
      <c r="C5" s="36">
        <v>-9.5</v>
      </c>
      <c r="D5" s="19" t="s">
        <v>62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28069.274000000001</v>
      </c>
    </row>
    <row r="8" spans="1:6" x14ac:dyDescent="0.2">
      <c r="A8" t="s">
        <v>3</v>
      </c>
      <c r="C8">
        <f>+D4</f>
        <v>1.9556100000000001</v>
      </c>
    </row>
    <row r="9" spans="1:6" x14ac:dyDescent="0.2">
      <c r="A9" s="37" t="s">
        <v>63</v>
      </c>
      <c r="B9" s="38">
        <v>22</v>
      </c>
      <c r="C9" s="39" t="str">
        <f>"F"&amp;B9</f>
        <v>F22</v>
      </c>
      <c r="D9" s="40" t="str">
        <f>"G"&amp;B9</f>
        <v>G22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 s="41">
        <f ca="1">INTERCEPT(INDIRECT($D$9):G978,INDIRECT($C$9):F978)</f>
        <v>0.14361427954880546</v>
      </c>
      <c r="D11" s="5"/>
    </row>
    <row r="12" spans="1:6" x14ac:dyDescent="0.2">
      <c r="A12" t="s">
        <v>17</v>
      </c>
      <c r="C12" s="41">
        <f ca="1">SLOPE(INDIRECT($D$9):G978,INDIRECT($C$9):F978)</f>
        <v>5.3369344351343133E-6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10">
        <f ca="1">($C$7+C$11)+($C$8+C$12)*INT(MAX($F21:$F3533))</f>
        <v>55074.509802007167</v>
      </c>
      <c r="E15" s="42" t="s">
        <v>64</v>
      </c>
      <c r="F15" s="36">
        <v>1</v>
      </c>
    </row>
    <row r="16" spans="1:6" x14ac:dyDescent="0.2">
      <c r="A16" s="7" t="s">
        <v>4</v>
      </c>
      <c r="C16" s="11">
        <f ca="1">+$C$8+C$12</f>
        <v>1.9556153369344351</v>
      </c>
      <c r="E16" s="42" t="s">
        <v>65</v>
      </c>
      <c r="F16" s="43">
        <f ca="1">NOW()+15018.5+$C$5/24</f>
        <v>60340.719902662036</v>
      </c>
    </row>
    <row r="17" spans="1:18" ht="13.5" thickBot="1" x14ac:dyDescent="0.25">
      <c r="A17" s="14" t="s">
        <v>29</v>
      </c>
      <c r="C17">
        <f>COUNT(C21:C2191)</f>
        <v>4</v>
      </c>
      <c r="E17" s="42" t="s">
        <v>66</v>
      </c>
      <c r="F17" s="43">
        <f ca="1">ROUND(2*(F16-$C$7)/$C$8,0)/2+F15</f>
        <v>16503</v>
      </c>
    </row>
    <row r="18" spans="1:18" ht="14.25" thickTop="1" thickBot="1" x14ac:dyDescent="0.25">
      <c r="A18" s="7" t="s">
        <v>5</v>
      </c>
      <c r="C18" s="3">
        <f ca="1">+C15</f>
        <v>55074.509802007167</v>
      </c>
      <c r="D18" s="4">
        <f ca="1">+C16</f>
        <v>1.9556153369344351</v>
      </c>
      <c r="E18" s="42" t="s">
        <v>67</v>
      </c>
      <c r="F18" s="40">
        <f ca="1">ROUND(2*(F16-$C$15)/$C$16,0)/2+F15</f>
        <v>2694</v>
      </c>
    </row>
    <row r="19" spans="1:18" ht="13.5" thickTop="1" x14ac:dyDescent="0.2">
      <c r="E19" s="42" t="s">
        <v>68</v>
      </c>
      <c r="F19" s="44">
        <f ca="1">+$C$15+$C$16*F18-15018.5-$C$5/24</f>
        <v>45324.833353041868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39</v>
      </c>
      <c r="I20" s="9" t="s">
        <v>42</v>
      </c>
      <c r="J20" s="9" t="s">
        <v>36</v>
      </c>
      <c r="K20" s="9" t="s">
        <v>34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t="s">
        <v>12</v>
      </c>
      <c r="C21" s="15">
        <v>28069.274000000001</v>
      </c>
      <c r="D21" s="1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0.14361427954880546</v>
      </c>
      <c r="Q21" s="1">
        <f>+C21-15018.5</f>
        <v>13050.774000000001</v>
      </c>
    </row>
    <row r="22" spans="1:18" x14ac:dyDescent="0.2">
      <c r="A22" s="16" t="s">
        <v>30</v>
      </c>
      <c r="B22" s="17"/>
      <c r="C22" s="18">
        <v>53619.530500000001</v>
      </c>
      <c r="D22" s="18">
        <v>1.1999999999999999E-3</v>
      </c>
      <c r="E22">
        <f>+(C22-C$7)/C$8</f>
        <v>13065.108329370374</v>
      </c>
      <c r="F22">
        <f>ROUND(2*E22,0)/2</f>
        <v>13065</v>
      </c>
      <c r="G22">
        <f>+C22-(C$7+F22*C$8)</f>
        <v>0.21184999999968568</v>
      </c>
      <c r="J22">
        <f>+G22</f>
        <v>0.21184999999968568</v>
      </c>
      <c r="O22">
        <f ca="1">+C$11+C$12*$F22</f>
        <v>0.21334132794383526</v>
      </c>
      <c r="Q22" s="1">
        <f>+C22-15018.5</f>
        <v>38601.030500000001</v>
      </c>
      <c r="R22" t="s">
        <v>36</v>
      </c>
    </row>
    <row r="23" spans="1:18" x14ac:dyDescent="0.2">
      <c r="A23" s="16" t="s">
        <v>30</v>
      </c>
      <c r="B23" s="17"/>
      <c r="C23" s="18">
        <v>53621.489099999999</v>
      </c>
      <c r="D23" s="18">
        <v>1.9E-3</v>
      </c>
      <c r="E23">
        <f>+(C23-C$7)/C$8</f>
        <v>13066.109858305079</v>
      </c>
      <c r="F23">
        <f>ROUND(2*E23,0)/2</f>
        <v>13066</v>
      </c>
      <c r="G23">
        <f>+C23-(C$7+F23*C$8)</f>
        <v>0.21483999999327352</v>
      </c>
      <c r="J23">
        <f>+G23</f>
        <v>0.21483999999327352</v>
      </c>
      <c r="O23">
        <f ca="1">+C$11+C$12*$F23</f>
        <v>0.21334666487827039</v>
      </c>
      <c r="Q23" s="1">
        <f>+C23-15018.5</f>
        <v>38602.989099999999</v>
      </c>
      <c r="R23" t="s">
        <v>36</v>
      </c>
    </row>
    <row r="24" spans="1:18" x14ac:dyDescent="0.2">
      <c r="A24" s="33" t="s">
        <v>59</v>
      </c>
      <c r="B24" s="34" t="s">
        <v>60</v>
      </c>
      <c r="C24" s="33">
        <v>55074.5098</v>
      </c>
      <c r="D24" s="33" t="s">
        <v>42</v>
      </c>
      <c r="E24">
        <f>+(C24-C$7)/C$8</f>
        <v>13809.111121338097</v>
      </c>
      <c r="F24">
        <f>ROUND(2*E24,0)/2</f>
        <v>13809</v>
      </c>
      <c r="G24">
        <f>+C24-(C$7+F24*C$8)</f>
        <v>0.21730999999272171</v>
      </c>
      <c r="K24">
        <f>+G24</f>
        <v>0.21730999999272171</v>
      </c>
      <c r="O24">
        <f ca="1">+C$11+C$12*$F24</f>
        <v>0.21731200716357518</v>
      </c>
      <c r="Q24" s="1">
        <f>+C24-15018.5</f>
        <v>40056.0098</v>
      </c>
    </row>
    <row r="25" spans="1:18" x14ac:dyDescent="0.2">
      <c r="C25" s="15"/>
      <c r="D25" s="15"/>
      <c r="Q25" s="1"/>
    </row>
    <row r="26" spans="1:18" x14ac:dyDescent="0.2">
      <c r="C26" s="15"/>
      <c r="D26" s="15"/>
      <c r="Q26" s="1"/>
    </row>
    <row r="27" spans="1:18" x14ac:dyDescent="0.2">
      <c r="C27" s="15"/>
      <c r="D27" s="15"/>
      <c r="Q27" s="1"/>
    </row>
    <row r="28" spans="1:18" x14ac:dyDescent="0.2">
      <c r="C28" s="15"/>
      <c r="D28" s="15"/>
      <c r="Q28" s="1"/>
    </row>
    <row r="29" spans="1:18" x14ac:dyDescent="0.2">
      <c r="C29" s="15"/>
      <c r="D29" s="15"/>
      <c r="Q29" s="1"/>
    </row>
    <row r="30" spans="1:18" x14ac:dyDescent="0.2">
      <c r="C30" s="15"/>
      <c r="D30" s="15"/>
      <c r="Q30" s="1"/>
    </row>
    <row r="31" spans="1:18" x14ac:dyDescent="0.2">
      <c r="C31" s="15"/>
      <c r="D31" s="15"/>
      <c r="Q31" s="1"/>
    </row>
    <row r="32" spans="1:18" x14ac:dyDescent="0.2">
      <c r="C32" s="15"/>
      <c r="D32" s="15"/>
      <c r="Q32" s="1"/>
    </row>
    <row r="33" spans="3:17" x14ac:dyDescent="0.2">
      <c r="C33" s="15"/>
      <c r="D33" s="15"/>
      <c r="Q33" s="1"/>
    </row>
    <row r="34" spans="3:17" x14ac:dyDescent="0.2">
      <c r="C34" s="15"/>
      <c r="D34" s="15"/>
    </row>
    <row r="35" spans="3:17" x14ac:dyDescent="0.2">
      <c r="C35" s="15"/>
      <c r="D35" s="15"/>
    </row>
    <row r="36" spans="3:17" x14ac:dyDescent="0.2">
      <c r="C36" s="15"/>
      <c r="D36" s="15"/>
    </row>
    <row r="37" spans="3:17" x14ac:dyDescent="0.2">
      <c r="C37" s="15"/>
      <c r="D37" s="15"/>
    </row>
    <row r="38" spans="3:17" x14ac:dyDescent="0.2">
      <c r="C38" s="15"/>
      <c r="D38" s="15"/>
    </row>
    <row r="39" spans="3:17" x14ac:dyDescent="0.2">
      <c r="C39" s="15"/>
      <c r="D39" s="15"/>
    </row>
    <row r="40" spans="3:17" x14ac:dyDescent="0.2">
      <c r="C40" s="15"/>
      <c r="D40" s="15"/>
    </row>
    <row r="41" spans="3:17" x14ac:dyDescent="0.2">
      <c r="C41" s="15"/>
      <c r="D41" s="15"/>
    </row>
    <row r="42" spans="3:17" x14ac:dyDescent="0.2">
      <c r="C42" s="15"/>
      <c r="D42" s="15"/>
    </row>
    <row r="43" spans="3:17" x14ac:dyDescent="0.2">
      <c r="C43" s="15"/>
      <c r="D43" s="15"/>
    </row>
    <row r="44" spans="3:17" x14ac:dyDescent="0.2">
      <c r="C44" s="15"/>
      <c r="D44" s="15"/>
    </row>
    <row r="45" spans="3:17" x14ac:dyDescent="0.2">
      <c r="C45" s="15"/>
      <c r="D45" s="15"/>
    </row>
    <row r="46" spans="3:17" x14ac:dyDescent="0.2">
      <c r="C46" s="15"/>
      <c r="D46" s="15"/>
    </row>
    <row r="47" spans="3:17" x14ac:dyDescent="0.2">
      <c r="C47" s="15"/>
      <c r="D47" s="15"/>
    </row>
    <row r="48" spans="3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0"/>
  <sheetViews>
    <sheetView workbookViewId="0">
      <selection activeCell="A13" sqref="A13:D13"/>
    </sheetView>
  </sheetViews>
  <sheetFormatPr defaultRowHeight="12.75" x14ac:dyDescent="0.2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20" t="s">
        <v>32</v>
      </c>
      <c r="I1" s="21" t="s">
        <v>33</v>
      </c>
      <c r="J1" s="22" t="s">
        <v>34</v>
      </c>
    </row>
    <row r="2" spans="1:16" x14ac:dyDescent="0.2">
      <c r="I2" s="23" t="s">
        <v>35</v>
      </c>
      <c r="J2" s="24" t="s">
        <v>36</v>
      </c>
    </row>
    <row r="3" spans="1:16" x14ac:dyDescent="0.2">
      <c r="A3" s="25" t="s">
        <v>37</v>
      </c>
      <c r="I3" s="23" t="s">
        <v>38</v>
      </c>
      <c r="J3" s="24" t="s">
        <v>39</v>
      </c>
    </row>
    <row r="4" spans="1:16" x14ac:dyDescent="0.2">
      <c r="I4" s="23" t="s">
        <v>40</v>
      </c>
      <c r="J4" s="24" t="s">
        <v>39</v>
      </c>
    </row>
    <row r="5" spans="1:16" ht="13.5" thickBot="1" x14ac:dyDescent="0.25">
      <c r="I5" s="26" t="s">
        <v>41</v>
      </c>
      <c r="J5" s="27" t="s">
        <v>42</v>
      </c>
    </row>
    <row r="10" spans="1:16" ht="13.5" thickBot="1" x14ac:dyDescent="0.25"/>
    <row r="11" spans="1:16" ht="12.75" customHeight="1" thickBot="1" x14ac:dyDescent="0.25">
      <c r="A11" s="15" t="str">
        <f>P11</f>
        <v>BAVM 178 </v>
      </c>
      <c r="B11" s="5" t="str">
        <f>IF(H11=INT(H11),"I","II")</f>
        <v>I</v>
      </c>
      <c r="C11" s="15">
        <f>1*G11</f>
        <v>53619.530500000001</v>
      </c>
      <c r="D11" s="19" t="str">
        <f>VLOOKUP(F11,I$1:J$5,2,FALSE)</f>
        <v>vis</v>
      </c>
      <c r="E11" s="28">
        <f>VLOOKUP(C11,Active!C$21:E$973,3,FALSE)</f>
        <v>13065.108329370374</v>
      </c>
      <c r="F11" s="5" t="s">
        <v>41</v>
      </c>
      <c r="G11" s="19" t="str">
        <f>MID(I11,3,LEN(I11)-3)</f>
        <v>53619.5305</v>
      </c>
      <c r="H11" s="15">
        <f>1*K11</f>
        <v>13065</v>
      </c>
      <c r="I11" s="29" t="s">
        <v>43</v>
      </c>
      <c r="J11" s="30" t="s">
        <v>44</v>
      </c>
      <c r="K11" s="29">
        <v>13065</v>
      </c>
      <c r="L11" s="29" t="s">
        <v>45</v>
      </c>
      <c r="M11" s="30" t="s">
        <v>46</v>
      </c>
      <c r="N11" s="30" t="s">
        <v>47</v>
      </c>
      <c r="O11" s="31" t="s">
        <v>48</v>
      </c>
      <c r="P11" s="32" t="s">
        <v>49</v>
      </c>
    </row>
    <row r="12" spans="1:16" ht="12.75" customHeight="1" thickBot="1" x14ac:dyDescent="0.25">
      <c r="A12" s="15" t="str">
        <f>P12</f>
        <v>BAVM 178 </v>
      </c>
      <c r="B12" s="5" t="str">
        <f>IF(H12=INT(H12),"I","II")</f>
        <v>I</v>
      </c>
      <c r="C12" s="15">
        <f>1*G12</f>
        <v>53621.489099999999</v>
      </c>
      <c r="D12" s="19" t="str">
        <f>VLOOKUP(F12,I$1:J$5,2,FALSE)</f>
        <v>vis</v>
      </c>
      <c r="E12" s="28">
        <f>VLOOKUP(C12,Active!C$21:E$973,3,FALSE)</f>
        <v>13066.109858305079</v>
      </c>
      <c r="F12" s="5" t="s">
        <v>41</v>
      </c>
      <c r="G12" s="19" t="str">
        <f>MID(I12,3,LEN(I12)-3)</f>
        <v>53621.4891</v>
      </c>
      <c r="H12" s="15">
        <f>1*K12</f>
        <v>13066</v>
      </c>
      <c r="I12" s="29" t="s">
        <v>50</v>
      </c>
      <c r="J12" s="30" t="s">
        <v>51</v>
      </c>
      <c r="K12" s="29" t="s">
        <v>52</v>
      </c>
      <c r="L12" s="29" t="s">
        <v>53</v>
      </c>
      <c r="M12" s="30" t="s">
        <v>46</v>
      </c>
      <c r="N12" s="30" t="s">
        <v>47</v>
      </c>
      <c r="O12" s="31" t="s">
        <v>48</v>
      </c>
      <c r="P12" s="32" t="s">
        <v>49</v>
      </c>
    </row>
    <row r="13" spans="1:16" ht="12.75" customHeight="1" thickBot="1" x14ac:dyDescent="0.25">
      <c r="A13" s="15" t="str">
        <f>P13</f>
        <v>BAVM 212 </v>
      </c>
      <c r="B13" s="5" t="str">
        <f>IF(H13=INT(H13),"I","II")</f>
        <v>I</v>
      </c>
      <c r="C13" s="15">
        <f>1*G13</f>
        <v>55074.5098</v>
      </c>
      <c r="D13" s="19" t="str">
        <f>VLOOKUP(F13,I$1:J$5,2,FALSE)</f>
        <v>vis</v>
      </c>
      <c r="E13" s="28">
        <f>VLOOKUP(C13,Active!C$21:E$973,3,FALSE)</f>
        <v>13809.111121338097</v>
      </c>
      <c r="F13" s="5" t="s">
        <v>41</v>
      </c>
      <c r="G13" s="19" t="str">
        <f>MID(I13,3,LEN(I13)-3)</f>
        <v>55074.5098</v>
      </c>
      <c r="H13" s="15">
        <f>1*K13</f>
        <v>13809</v>
      </c>
      <c r="I13" s="29" t="s">
        <v>54</v>
      </c>
      <c r="J13" s="30" t="s">
        <v>55</v>
      </c>
      <c r="K13" s="29" t="s">
        <v>56</v>
      </c>
      <c r="L13" s="29" t="s">
        <v>57</v>
      </c>
      <c r="M13" s="30" t="s">
        <v>46</v>
      </c>
      <c r="N13" s="30" t="s">
        <v>47</v>
      </c>
      <c r="O13" s="31" t="s">
        <v>58</v>
      </c>
      <c r="P13" s="32" t="s">
        <v>59</v>
      </c>
    </row>
    <row r="14" spans="1:16" x14ac:dyDescent="0.2">
      <c r="B14" s="5"/>
      <c r="F14" s="5"/>
    </row>
    <row r="15" spans="1:16" x14ac:dyDescent="0.2">
      <c r="B15" s="5"/>
      <c r="F15" s="5"/>
    </row>
    <row r="16" spans="1:16" x14ac:dyDescent="0.2">
      <c r="B16" s="5"/>
      <c r="F16" s="5"/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</sheetData>
  <phoneticPr fontId="6" type="noConversion"/>
  <hyperlinks>
    <hyperlink ref="P11" r:id="rId1" display="http://www.bav-astro.de/sfs/BAVM_link.php?BAVMnr=178"/>
    <hyperlink ref="P12" r:id="rId2" display="http://www.bav-astro.de/sfs/BAVM_link.php?BAVMnr=178"/>
    <hyperlink ref="P13" r:id="rId3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2024-01-31T04:16:39Z</dcterms:modified>
</cp:coreProperties>
</file>