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F78B5EE-D124-411D-BCA9-3E12B5CCE0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17" i="1" l="1"/>
  <c r="F16" i="1"/>
  <c r="F17" i="1" s="1"/>
  <c r="D9" i="1"/>
  <c r="C9" i="1"/>
  <c r="Q22" i="1"/>
  <c r="Q23" i="1"/>
  <c r="Q24" i="1"/>
  <c r="Q25" i="1"/>
  <c r="Q26" i="1"/>
  <c r="Q27" i="1"/>
  <c r="Q28" i="1"/>
  <c r="Q29" i="1"/>
  <c r="Q31" i="1"/>
  <c r="Q32" i="1"/>
  <c r="Q33" i="1"/>
  <c r="Q34" i="1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1" i="2"/>
  <c r="B11" i="2"/>
  <c r="D11" i="2"/>
  <c r="A1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Q30" i="1"/>
  <c r="C7" i="1"/>
  <c r="E26" i="1"/>
  <c r="F26" i="1"/>
  <c r="C8" i="1"/>
  <c r="Q21" i="1"/>
  <c r="E17" i="2"/>
  <c r="E13" i="2"/>
  <c r="E19" i="2"/>
  <c r="E16" i="2"/>
  <c r="E22" i="2"/>
  <c r="E15" i="2"/>
  <c r="E23" i="2"/>
  <c r="E31" i="1"/>
  <c r="F31" i="1"/>
  <c r="E23" i="1"/>
  <c r="F23" i="1"/>
  <c r="G23" i="1"/>
  <c r="I23" i="1"/>
  <c r="E28" i="1"/>
  <c r="F28" i="1"/>
  <c r="E33" i="1"/>
  <c r="F33" i="1"/>
  <c r="G33" i="1"/>
  <c r="I33" i="1"/>
  <c r="E25" i="1"/>
  <c r="F25" i="1"/>
  <c r="G25" i="1"/>
  <c r="I25" i="1"/>
  <c r="G32" i="1"/>
  <c r="I32" i="1"/>
  <c r="E30" i="1"/>
  <c r="E22" i="1"/>
  <c r="E27" i="1"/>
  <c r="F27" i="1"/>
  <c r="G27" i="1"/>
  <c r="I27" i="1"/>
  <c r="E32" i="1"/>
  <c r="F32" i="1"/>
  <c r="G26" i="1"/>
  <c r="I26" i="1"/>
  <c r="E24" i="1"/>
  <c r="F24" i="1"/>
  <c r="G24" i="1"/>
  <c r="I24" i="1"/>
  <c r="G31" i="1"/>
  <c r="I31" i="1"/>
  <c r="E29" i="1"/>
  <c r="F29" i="1"/>
  <c r="G29" i="1"/>
  <c r="I29" i="1"/>
  <c r="E21" i="1"/>
  <c r="F21" i="1"/>
  <c r="G21" i="1"/>
  <c r="E34" i="1"/>
  <c r="F34" i="1"/>
  <c r="G34" i="1"/>
  <c r="I34" i="1"/>
  <c r="G28" i="1"/>
  <c r="I28" i="1"/>
  <c r="H21" i="1"/>
  <c r="E21" i="2"/>
  <c r="E12" i="2"/>
  <c r="F22" i="1"/>
  <c r="G22" i="1"/>
  <c r="E20" i="2"/>
  <c r="E14" i="2"/>
  <c r="F30" i="1"/>
  <c r="G30" i="1"/>
  <c r="I30" i="1"/>
  <c r="E11" i="2"/>
  <c r="E18" i="2"/>
  <c r="I22" i="1"/>
  <c r="C12" i="1"/>
  <c r="C11" i="1"/>
  <c r="O30" i="1" l="1"/>
  <c r="O24" i="1"/>
  <c r="O28" i="1"/>
  <c r="O33" i="1"/>
  <c r="O25" i="1"/>
  <c r="O21" i="1"/>
  <c r="O27" i="1"/>
  <c r="O29" i="1"/>
  <c r="O23" i="1"/>
  <c r="O22" i="1"/>
  <c r="O31" i="1"/>
  <c r="C15" i="1"/>
  <c r="O32" i="1"/>
  <c r="O34" i="1"/>
  <c r="O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<sst xmlns="http://schemas.openxmlformats.org/spreadsheetml/2006/main" count="189" uniqueCount="109">
  <si>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</si>
  <si>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</si>
  <si>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</si>
  <si>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</si>
  <si>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</si>
  <si>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</si>
  <si>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</si>
  <si>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</si>
  <si>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</si>
  <si>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</si>
  <si>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</si>
  <si>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</si>
  <si>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</si>
  <si>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</si>
  <si>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</si>
  <si>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</si>
  <si>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</si>
  <si>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</si>
  <si>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</si>
  <si>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</si>
  <si>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</si>
  <si>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</si>
  <si>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</si>
  <si>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</si>
  <si>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</si>
  <si>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</si>
  <si>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</si>
  <si>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</si>
  <si>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</si>
  <si>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Vandenbroere J</t>
  </si>
  <si>
    <t>BBSAG Bull.98</t>
  </si>
  <si>
    <t>B</t>
  </si>
  <si>
    <t>EA/SD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</si>
  <si>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</si>
  <si>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</si>
  <si>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</si>
  <si>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</si>
  <si>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</si>
  <si>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</si>
  <si>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</si>
  <si>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</si>
  <si>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</si>
  <si>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</si>
  <si>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</si>
  <si>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2415290.36 </t>
  </si>
  <si>
    <t> 27.09.1900 20:38 </t>
  </si>
  <si>
    <t> 0.09 </t>
  </si>
  <si>
    <t>P </t>
  </si>
  <si>
    <t> W.Zessewitsch </t>
  </si>
  <si>
    <t> AC 194.28 </t>
  </si>
  <si>
    <t>2418267.17 </t>
  </si>
  <si>
    <t> 21.11.1908 16:04 </t>
  </si>
  <si>
    <t> -0.05 </t>
  </si>
  <si>
    <t>2429285.18 </t>
  </si>
  <si>
    <t> 21.01.1939 16:19 </t>
  </si>
  <si>
    <t> 0.10 </t>
  </si>
  <si>
    <t>2436091.29 </t>
  </si>
  <si>
    <t> 09.09.1957 18:57 </t>
  </si>
  <si>
    <t> -0.04 </t>
  </si>
  <si>
    <t>V </t>
  </si>
  <si>
    <t>2436110.21 </t>
  </si>
  <si>
    <t> 28.09.1957 17:02 </t>
  </si>
  <si>
    <t> 0.08 </t>
  </si>
  <si>
    <t>2436141.42 </t>
  </si>
  <si>
    <t> 29.10.1957 22:04 </t>
  </si>
  <si>
    <t>2436354.42 </t>
  </si>
  <si>
    <t> 30.05.1958 22:04 </t>
  </si>
  <si>
    <t> -0.14 </t>
  </si>
  <si>
    <t>2436373.38 </t>
  </si>
  <si>
    <t> 18.06.1958 21:07 </t>
  </si>
  <si>
    <t> 0.02 </t>
  </si>
  <si>
    <t>2448475.530 </t>
  </si>
  <si>
    <t> 07.08.1991 00:43 </t>
  </si>
  <si>
    <t> 0.076 </t>
  </si>
  <si>
    <t> J.Vandenbroere </t>
  </si>
  <si>
    <t> BBS 98 </t>
  </si>
  <si>
    <t>2451051.425 </t>
  </si>
  <si>
    <t> 25.08.1998 22:12 </t>
  </si>
  <si>
    <t> 0.124 </t>
  </si>
  <si>
    <t> J.Verrot </t>
  </si>
  <si>
    <t> BBS 119 </t>
  </si>
  <si>
    <t>2451076.404 </t>
  </si>
  <si>
    <t> 19.09.1998 21:41 </t>
  </si>
  <si>
    <t> 0.034 </t>
  </si>
  <si>
    <t>2451665.5327 </t>
  </si>
  <si>
    <t> 01.05.2000 00:47 </t>
  </si>
  <si>
    <t> 0.0392 </t>
  </si>
  <si>
    <t>E </t>
  </si>
  <si>
    <t>?</t>
  </si>
  <si>
    <t> K.Koss </t>
  </si>
  <si>
    <t> BRNO 32 </t>
  </si>
  <si>
    <t>2454360.5110 </t>
  </si>
  <si>
    <t> 17.09.2007 00:15 </t>
  </si>
  <si>
    <t> 0.0923 </t>
  </si>
  <si>
    <t>C </t>
  </si>
  <si>
    <t>-I</t>
  </si>
  <si>
    <t> F.Agerer </t>
  </si>
  <si>
    <t>BAVM 193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</si>
  <si>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</si>
  <si>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</si>
  <si>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</si>
  <si>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</si>
  <si>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</si>
  <si>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</si>
  <si>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</si>
  <si>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</si>
  <si>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</si>
  <si>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# of data points:</t>
  </si>
  <si>
    <t>V0620 Cyg / GSC 2716-2777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</si>
</sst>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1" fillId="2" borderId="12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17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7" fillId="0" borderId="0" xfId="0" applyFont="1" applyAlignment="1">
      <alignment horizontal="left"/>
    </xf>
    <xf numFmtId="0" fontId="19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V0620 Cyg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50-420B-9EC8-029C15F8E9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9.0000000000145519E-2</c:v>
                </c:pt>
                <c:pt idx="2">
                  <c:v>-5.2300000003015157E-2</c:v>
                </c:pt>
                <c:pt idx="3">
                  <c:v>0.10055600000123377</c:v>
                </c:pt>
                <c:pt idx="4">
                  <c:v>-4.2492000000493135E-2</c:v>
                </c:pt>
                <c:pt idx="5">
                  <c:v>7.5703999995312188E-2</c:v>
                </c:pt>
                <c:pt idx="6">
                  <c:v>-5.0635999999940395E-2</c:v>
                </c:pt>
                <c:pt idx="7">
                  <c:v>-0.13774800000101095</c:v>
                </c:pt>
                <c:pt idx="8">
                  <c:v>2.0448000002943445E-2</c:v>
                </c:pt>
                <c:pt idx="9">
                  <c:v>7.5939999995171092E-2</c:v>
                </c:pt>
                <c:pt idx="10">
                  <c:v>0.12379199999850243</c:v>
                </c:pt>
                <c:pt idx="11">
                  <c:v>3.3719999999448191E-2</c:v>
                </c:pt>
                <c:pt idx="12">
                  <c:v>3.9228000001457985E-2</c:v>
                </c:pt>
                <c:pt idx="13">
                  <c:v>9.2287999999825843E-2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50-420B-9EC8-029C15F8E9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50-420B-9EC8-029C15F8E9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50-420B-9EC8-029C15F8E9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50-420B-9EC8-029C15F8E9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50-420B-9EC8-029C15F8E9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50-420B-9EC8-029C15F8E9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475</c:v>
                </c:pt>
                <c:pt idx="3">
                  <c:v>2233</c:v>
                </c:pt>
                <c:pt idx="4">
                  <c:v>3319</c:v>
                </c:pt>
                <c:pt idx="5">
                  <c:v>3322</c:v>
                </c:pt>
                <c:pt idx="6">
                  <c:v>3327</c:v>
                </c:pt>
                <c:pt idx="7">
                  <c:v>3361</c:v>
                </c:pt>
                <c:pt idx="8">
                  <c:v>3364</c:v>
                </c:pt>
                <c:pt idx="9">
                  <c:v>5295</c:v>
                </c:pt>
                <c:pt idx="10">
                  <c:v>5706</c:v>
                </c:pt>
                <c:pt idx="11">
                  <c:v>5710</c:v>
                </c:pt>
                <c:pt idx="12">
                  <c:v>5804</c:v>
                </c:pt>
                <c:pt idx="13">
                  <c:v>6234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-6.5633054424678004E-3</c:v>
                </c:pt>
                <c:pt idx="1">
                  <c:v>-6.5633054424678004E-3</c:v>
                </c:pt>
                <c:pt idx="2">
                  <c:v>-2.0215924375360924E-3</c:v>
                </c:pt>
                <c:pt idx="3">
                  <c:v>1.4787526431242735E-2</c:v>
                </c:pt>
                <c:pt idx="4">
                  <c:v>2.5171316585676073E-2</c:v>
                </c:pt>
                <c:pt idx="5">
                  <c:v>2.5200001088865113E-2</c:v>
                </c:pt>
                <c:pt idx="6">
                  <c:v>2.5247808594180184E-2</c:v>
                </c:pt>
                <c:pt idx="7">
                  <c:v>2.5572899630322669E-2</c:v>
                </c:pt>
                <c:pt idx="8">
                  <c:v>2.5601584133511709E-2</c:v>
                </c:pt>
                <c:pt idx="9">
                  <c:v>4.4064842686191985E-2</c:v>
                </c:pt>
                <c:pt idx="10">
                  <c:v>4.799461962309079E-2</c:v>
                </c:pt>
                <c:pt idx="11">
                  <c:v>4.8032865627342838E-2</c:v>
                </c:pt>
                <c:pt idx="12">
                  <c:v>4.8931646727266173E-2</c:v>
                </c:pt>
                <c:pt idx="13">
                  <c:v>5.3043092184362234E-2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50-420B-9EC8-029C15F8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287080"/>
        <c:axId val="1"/>
      </c:scatterChart>
      <c:valAx>
        <c:axId val="717287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287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1874999999999996"/>
          <c:w val="0.8636372312965011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0</xdr:rowOff>
    </xdr:from>
    <xdr:to>
      <xdr:col>18</xdr:col>
      <xdr:colOff>361949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729BFA-5696-155E-F637-5AA5E2CB1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42" t="s">
        <v>108</v>
      </c>
    </row>
    <row r="2" spans="1:6">
      <c r="A2" t="s">
        <v>25</v>
      </c>
      <c r="B2" s="10" t="s">
        <v>32</v>
      </c>
    </row>
    <row r="4" spans="1:6">
      <c r="A4" s="7" t="s">
        <v>0</v>
      </c>
      <c r="C4" s="2">
        <v>15290.27</v>
      </c>
      <c r="D4" s="3">
        <v>6.2672679999999996</v>
      </c>
    </row>
    <row r="5" spans="1:6">
      <c r="A5" s="31" t="s">
        <v>99</v>
      </c>
      <c r="B5" s="14"/>
      <c r="C5" s="32">
        <v>-9.5</v>
      </c>
      <c r="D5" s="14" t="s">
        <v>100</v>
      </c>
    </row>
    <row r="6" spans="1:6">
      <c r="A6" s="7" t="s">
        <v>1</v>
      </c>
    </row>
    <row r="7" spans="1:6">
      <c r="A7" t="s">
        <v>2</v>
      </c>
      <c r="C7">
        <f>+C4</f>
        <v>15290.27</v>
      </c>
    </row>
    <row r="8" spans="1:6">
      <c r="A8" t="s">
        <v>3</v>
      </c>
      <c r="C8">
        <f>+D4</f>
        <v>6.2672679999999996</v>
      </c>
    </row>
    <row r="9" spans="1:6">
      <c r="A9" s="33" t="s">
        <v>101</v>
      </c>
      <c r="B9" s="34">
        <v>21</v>
      </c>
      <c r="C9" s="35" t="str">
        <f>"F"&amp;B9</f>
        <v>F21</v>
      </c>
      <c r="D9" s="36" t="str">
        <f>"G"&amp;B9</f>
        <v>G21</v>
      </c>
    </row>
    <row r="10" spans="1:6" ht="13.5" thickBot="1">
      <c r="C10" s="6" t="s">
        <v>20</v>
      </c>
      <c r="D10" s="6" t="s">
        <v>21</v>
      </c>
    </row>
    <row r="11" spans="1:6">
      <c r="A11" t="s">
        <v>16</v>
      </c>
      <c r="C11" s="37">
        <f ca="1">INTERCEPT(INDIRECT($D$9):G978,INDIRECT($C$9):F978)</f>
        <v>-6.5633054424678004E-3</v>
      </c>
      <c r="D11" s="5"/>
    </row>
    <row r="12" spans="1:6">
      <c r="A12" t="s">
        <v>17</v>
      </c>
      <c r="C12" s="37">
        <f ca="1">SLOPE(INDIRECT($D$9):G978,INDIRECT($C$9):F978)</f>
        <v>9.5615010630141226E-6</v>
      </c>
      <c r="D12" s="5"/>
    </row>
    <row r="13" spans="1:6">
      <c r="A13" t="s">
        <v>19</v>
      </c>
      <c r="C13" s="5" t="s">
        <v>14</v>
      </c>
      <c r="D13" s="5"/>
    </row>
    <row r="14" spans="1:6">
      <c r="A14" t="s">
        <v>24</v>
      </c>
    </row>
    <row r="15" spans="1:6">
      <c r="A15" s="4" t="s">
        <v>18</v>
      </c>
      <c r="C15" s="11">
        <f ca="1">(C7+C11)+(C8+C12)*INT(MAX(F21:F3533))</f>
        <v>54360.471755092178</v>
      </c>
      <c r="E15" s="38" t="s">
        <v>102</v>
      </c>
      <c r="F15" s="32">
        <v>1</v>
      </c>
    </row>
    <row r="16" spans="1:6">
      <c r="A16" s="7" t="s">
        <v>4</v>
      </c>
      <c r="C16" s="12">
        <f ca="1">+C8+C12</f>
        <v>6.2672775615010625</v>
      </c>
      <c r="E16" s="38" t="s">
        <v>103</v>
      </c>
      <c r="F16" s="39">
        <f ca="1">NOW()+15018.5+$C$5/24</f>
        <v>60340.722760532408</v>
      </c>
    </row>
    <row r="17" spans="1:31" ht="13.5" thickBot="1">
      <c r="A17" s="38" t="s">
        <v>107</v>
      </c>
      <c r="B17" s="14"/>
      <c r="C17" s="14">
        <f>COUNT(C21:C2177)</f>
        <v>14</v>
      </c>
      <c r="E17" s="38" t="s">
        <v>104</v>
      </c>
      <c r="F17" s="39">
        <f ca="1">ROUND(2*(F16-$C$7)/$C$8,0)/2+F15</f>
        <v>7189</v>
      </c>
    </row>
    <row r="18" spans="1:31">
      <c r="A18" s="7" t="s">
        <v>5</v>
      </c>
      <c r="C18" s="2">
        <f ca="1">+C15</f>
        <v>54360.471755092178</v>
      </c>
      <c r="D18" s="3">
        <f ca="1">+C16</f>
        <v>6.2672775615010625</v>
      </c>
      <c r="E18" s="38" t="s">
        <v>105</v>
      </c>
      <c r="F18" s="36">
        <f ca="1">ROUND(2*(F16-$C$15)/$C$16,0)/2+F15</f>
        <v>955</v>
      </c>
    </row>
    <row r="19" spans="1:31" ht="13.5" thickTop="1">
      <c r="E19" s="38" t="s">
        <v>106</v>
      </c>
      <c r="F19" s="40">
        <f ca="1">+$C$15+$C$16*F18-15018.5-$C$5/24</f>
        <v>45327.61765965903</v>
      </c>
    </row>
    <row r="20" spans="1:3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40</v>
      </c>
      <c r="I20" s="9" t="s">
        <v>43</v>
      </c>
      <c r="J20" s="9" t="s">
        <v>37</v>
      </c>
      <c r="K20" s="9" t="s">
        <v>35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31">
      <c r="A21" t="s">
        <v>12</v>
      </c>
      <c r="C21" s="15">
        <v>15290.27</v>
      </c>
      <c r="D21" s="15" t="s">
        <v>14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>+G21</f>
        <v>0</v>
      </c>
      <c r="O21">
        <f t="shared" ref="O21:O34" ca="1" si="3">+C$11+C$12*F21</f>
        <v>-6.5633054424678004E-3</v>
      </c>
      <c r="Q21" s="1">
        <f t="shared" ref="Q21:Q34" si="4">+C21-15018.5</f>
        <v>271.77000000000044</v>
      </c>
    </row>
    <row r="22" spans="1:31">
      <c r="A22" s="29" t="s">
        <v>49</v>
      </c>
      <c r="B22" s="28" t="s">
        <v>98</v>
      </c>
      <c r="C22" s="30">
        <v>15290.36</v>
      </c>
      <c r="D22" s="29" t="s">
        <v>43</v>
      </c>
      <c r="E22">
        <f t="shared" si="0"/>
        <v>1.4360324147642246E-2</v>
      </c>
      <c r="F22">
        <f t="shared" si="1"/>
        <v>0</v>
      </c>
      <c r="G22">
        <f t="shared" si="2"/>
        <v>9.0000000000145519E-2</v>
      </c>
      <c r="I22">
        <f t="shared" ref="I22:I32" si="5">+G22</f>
        <v>9.0000000000145519E-2</v>
      </c>
      <c r="O22">
        <f t="shared" ca="1" si="3"/>
        <v>-6.5633054424678004E-3</v>
      </c>
      <c r="Q22" s="1">
        <f t="shared" si="4"/>
        <v>271.86000000000058</v>
      </c>
    </row>
    <row r="23" spans="1:31">
      <c r="A23" s="29" t="s">
        <v>49</v>
      </c>
      <c r="B23" s="28" t="s">
        <v>98</v>
      </c>
      <c r="C23" s="30">
        <v>18267.169999999998</v>
      </c>
      <c r="D23" s="29" t="s">
        <v>43</v>
      </c>
      <c r="E23">
        <f t="shared" si="0"/>
        <v>474.99165505607834</v>
      </c>
      <c r="F23">
        <f t="shared" si="1"/>
        <v>475</v>
      </c>
      <c r="G23">
        <f t="shared" si="2"/>
        <v>-5.2300000003015157E-2</v>
      </c>
      <c r="I23">
        <f t="shared" si="5"/>
        <v>-5.2300000003015157E-2</v>
      </c>
      <c r="O23">
        <f t="shared" ca="1" si="3"/>
        <v>-2.0215924375360924E-3</v>
      </c>
      <c r="Q23" s="1">
        <f t="shared" si="4"/>
        <v>3248.6699999999983</v>
      </c>
    </row>
    <row r="24" spans="1:31">
      <c r="A24" s="29" t="s">
        <v>49</v>
      </c>
      <c r="B24" s="28" t="s">
        <v>98</v>
      </c>
      <c r="C24" s="30">
        <v>29285.18</v>
      </c>
      <c r="D24" s="29" t="s">
        <v>43</v>
      </c>
      <c r="E24">
        <f t="shared" si="0"/>
        <v>2233.0160446306113</v>
      </c>
      <c r="F24">
        <f t="shared" si="1"/>
        <v>2233</v>
      </c>
      <c r="G24">
        <f t="shared" si="2"/>
        <v>0.10055600000123377</v>
      </c>
      <c r="I24">
        <f t="shared" si="5"/>
        <v>0.10055600000123377</v>
      </c>
      <c r="O24">
        <f t="shared" ca="1" si="3"/>
        <v>1.4787526431242735E-2</v>
      </c>
      <c r="Q24" s="1">
        <f t="shared" si="4"/>
        <v>14266.68</v>
      </c>
    </row>
    <row r="25" spans="1:31">
      <c r="A25" s="29" t="s">
        <v>49</v>
      </c>
      <c r="B25" s="28" t="s">
        <v>98</v>
      </c>
      <c r="C25" s="29">
        <v>36091.29</v>
      </c>
      <c r="D25" s="29" t="s">
        <v>43</v>
      </c>
      <c r="E25">
        <f t="shared" si="0"/>
        <v>3318.9932200122926</v>
      </c>
      <c r="F25">
        <f t="shared" si="1"/>
        <v>3319</v>
      </c>
      <c r="G25">
        <f t="shared" si="2"/>
        <v>-4.2492000000493135E-2</v>
      </c>
      <c r="I25">
        <f t="shared" si="5"/>
        <v>-4.2492000000493135E-2</v>
      </c>
      <c r="O25">
        <f t="shared" ca="1" si="3"/>
        <v>2.5171316585676073E-2</v>
      </c>
      <c r="Q25" s="1">
        <f t="shared" si="4"/>
        <v>21072.79</v>
      </c>
    </row>
    <row r="26" spans="1:31">
      <c r="A26" s="29" t="s">
        <v>49</v>
      </c>
      <c r="B26" s="28" t="s">
        <v>98</v>
      </c>
      <c r="C26" s="29">
        <v>36110.21</v>
      </c>
      <c r="D26" s="29" t="s">
        <v>43</v>
      </c>
      <c r="E26">
        <f t="shared" si="0"/>
        <v>3322.0120792664366</v>
      </c>
      <c r="F26">
        <f t="shared" si="1"/>
        <v>3322</v>
      </c>
      <c r="G26">
        <f t="shared" si="2"/>
        <v>7.5703999995312188E-2</v>
      </c>
      <c r="I26">
        <f t="shared" si="5"/>
        <v>7.5703999995312188E-2</v>
      </c>
      <c r="O26">
        <f t="shared" ca="1" si="3"/>
        <v>2.5200001088865113E-2</v>
      </c>
      <c r="Q26" s="1">
        <f t="shared" si="4"/>
        <v>21091.71</v>
      </c>
    </row>
    <row r="27" spans="1:31">
      <c r="A27" s="29" t="s">
        <v>49</v>
      </c>
      <c r="B27" s="28" t="s">
        <v>98</v>
      </c>
      <c r="C27" s="29">
        <v>36141.42</v>
      </c>
      <c r="D27" s="29" t="s">
        <v>43</v>
      </c>
      <c r="E27">
        <f t="shared" si="0"/>
        <v>3326.991920562516</v>
      </c>
      <c r="F27">
        <f t="shared" si="1"/>
        <v>3327</v>
      </c>
      <c r="G27">
        <f t="shared" si="2"/>
        <v>-5.0635999999940395E-2</v>
      </c>
      <c r="I27">
        <f t="shared" si="5"/>
        <v>-5.0635999999940395E-2</v>
      </c>
      <c r="O27">
        <f t="shared" ca="1" si="3"/>
        <v>2.5247808594180184E-2</v>
      </c>
      <c r="Q27" s="1">
        <f t="shared" si="4"/>
        <v>21122.92</v>
      </c>
    </row>
    <row r="28" spans="1:31">
      <c r="A28" s="29" t="s">
        <v>49</v>
      </c>
      <c r="B28" s="28" t="s">
        <v>98</v>
      </c>
      <c r="C28" s="29">
        <v>36354.42</v>
      </c>
      <c r="D28" s="29" t="s">
        <v>43</v>
      </c>
      <c r="E28">
        <f t="shared" si="0"/>
        <v>3360.9780210452145</v>
      </c>
      <c r="F28">
        <f t="shared" si="1"/>
        <v>3361</v>
      </c>
      <c r="G28">
        <f t="shared" si="2"/>
        <v>-0.13774800000101095</v>
      </c>
      <c r="I28">
        <f t="shared" si="5"/>
        <v>-0.13774800000101095</v>
      </c>
      <c r="O28">
        <f t="shared" ca="1" si="3"/>
        <v>2.5572899630322669E-2</v>
      </c>
      <c r="Q28" s="1">
        <f t="shared" si="4"/>
        <v>21335.919999999998</v>
      </c>
    </row>
    <row r="29" spans="1:31">
      <c r="A29" s="29" t="s">
        <v>49</v>
      </c>
      <c r="B29" s="28" t="s">
        <v>98</v>
      </c>
      <c r="C29" s="29">
        <v>36373.379999999997</v>
      </c>
      <c r="D29" s="29" t="s">
        <v>43</v>
      </c>
      <c r="E29">
        <f t="shared" si="0"/>
        <v>3364.0032626656462</v>
      </c>
      <c r="F29">
        <f t="shared" si="1"/>
        <v>3364</v>
      </c>
      <c r="G29">
        <f t="shared" si="2"/>
        <v>2.0448000002943445E-2</v>
      </c>
      <c r="I29">
        <f t="shared" si="5"/>
        <v>2.0448000002943445E-2</v>
      </c>
      <c r="O29">
        <f t="shared" ca="1" si="3"/>
        <v>2.5601584133511709E-2</v>
      </c>
      <c r="Q29" s="1">
        <f t="shared" si="4"/>
        <v>21354.879999999997</v>
      </c>
    </row>
    <row r="30" spans="1:31">
      <c r="A30" t="s">
        <v>30</v>
      </c>
      <c r="C30" s="41">
        <v>48475.53</v>
      </c>
      <c r="D30" s="15">
        <v>8.9999999999999993E-3</v>
      </c>
      <c r="E30">
        <f t="shared" si="0"/>
        <v>5295.0121169223967</v>
      </c>
      <c r="F30">
        <f t="shared" si="1"/>
        <v>5295</v>
      </c>
      <c r="G30">
        <f t="shared" si="2"/>
        <v>7.5939999995171092E-2</v>
      </c>
      <c r="I30">
        <f t="shared" si="5"/>
        <v>7.5939999995171092E-2</v>
      </c>
      <c r="O30">
        <f t="shared" ca="1" si="3"/>
        <v>4.4064842686191985E-2</v>
      </c>
      <c r="Q30" s="1">
        <f t="shared" si="4"/>
        <v>33457.03</v>
      </c>
      <c r="AA30">
        <v>14</v>
      </c>
      <c r="AC30" t="s">
        <v>29</v>
      </c>
      <c r="AE30" t="s">
        <v>31</v>
      </c>
    </row>
    <row r="31" spans="1:31">
      <c r="A31" s="29" t="s">
        <v>80</v>
      </c>
      <c r="B31" s="28" t="s">
        <v>98</v>
      </c>
      <c r="C31" s="29">
        <v>51051.425000000003</v>
      </c>
      <c r="D31" s="29" t="s">
        <v>43</v>
      </c>
      <c r="E31">
        <f t="shared" si="0"/>
        <v>5706.0197521471873</v>
      </c>
      <c r="F31">
        <f t="shared" si="1"/>
        <v>5706</v>
      </c>
      <c r="G31">
        <f t="shared" si="2"/>
        <v>0.12379199999850243</v>
      </c>
      <c r="I31">
        <f t="shared" si="5"/>
        <v>0.12379199999850243</v>
      </c>
      <c r="O31">
        <f t="shared" ca="1" si="3"/>
        <v>4.799461962309079E-2</v>
      </c>
      <c r="Q31" s="1">
        <f t="shared" si="4"/>
        <v>36032.925000000003</v>
      </c>
    </row>
    <row r="32" spans="1:31">
      <c r="A32" s="29" t="s">
        <v>80</v>
      </c>
      <c r="B32" s="28" t="s">
        <v>98</v>
      </c>
      <c r="C32" s="29">
        <v>51076.404000000002</v>
      </c>
      <c r="D32" s="29" t="s">
        <v>43</v>
      </c>
      <c r="E32">
        <f t="shared" si="0"/>
        <v>5710.0053803347819</v>
      </c>
      <c r="F32">
        <f t="shared" si="1"/>
        <v>5710</v>
      </c>
      <c r="G32">
        <f t="shared" si="2"/>
        <v>3.3719999999448191E-2</v>
      </c>
      <c r="I32">
        <f t="shared" si="5"/>
        <v>3.3719999999448191E-2</v>
      </c>
      <c r="O32">
        <f t="shared" ca="1" si="3"/>
        <v>4.8032865627342838E-2</v>
      </c>
      <c r="Q32" s="1">
        <f t="shared" si="4"/>
        <v>36057.904000000002</v>
      </c>
    </row>
    <row r="33" spans="1:17">
      <c r="A33" s="29" t="s">
        <v>90</v>
      </c>
      <c r="B33" s="28" t="s">
        <v>98</v>
      </c>
      <c r="C33" s="29">
        <v>51665.532700000003</v>
      </c>
      <c r="D33" s="29" t="s">
        <v>43</v>
      </c>
      <c r="E33">
        <f t="shared" si="0"/>
        <v>5804.0062591866199</v>
      </c>
      <c r="F33">
        <f t="shared" si="1"/>
        <v>5804</v>
      </c>
      <c r="G33">
        <f t="shared" si="2"/>
        <v>3.9228000001457985E-2</v>
      </c>
      <c r="I33">
        <f>+G33</f>
        <v>3.9228000001457985E-2</v>
      </c>
      <c r="O33">
        <f t="shared" ca="1" si="3"/>
        <v>4.8931646727266173E-2</v>
      </c>
      <c r="Q33" s="1">
        <f t="shared" si="4"/>
        <v>36647.032700000003</v>
      </c>
    </row>
    <row r="34" spans="1:17">
      <c r="A34" s="29" t="s">
        <v>97</v>
      </c>
      <c r="B34" s="28" t="s">
        <v>98</v>
      </c>
      <c r="C34" s="29">
        <v>54360.510999999999</v>
      </c>
      <c r="D34" s="29" t="s">
        <v>43</v>
      </c>
      <c r="E34">
        <f t="shared" si="0"/>
        <v>6234.0147253954992</v>
      </c>
      <c r="F34">
        <f t="shared" si="1"/>
        <v>6234</v>
      </c>
      <c r="G34">
        <f t="shared" si="2"/>
        <v>9.2287999999825843E-2</v>
      </c>
      <c r="I34">
        <f>+G34</f>
        <v>9.2287999999825843E-2</v>
      </c>
      <c r="O34">
        <f t="shared" ca="1" si="3"/>
        <v>5.3043092184362234E-2</v>
      </c>
      <c r="Q34" s="1">
        <f t="shared" si="4"/>
        <v>39342.010999999999</v>
      </c>
    </row>
    <row r="35" spans="1:17">
      <c r="B35" s="5"/>
      <c r="D35" s="5"/>
    </row>
    <row r="36" spans="1:17">
      <c r="B36" s="5"/>
      <c r="D36" s="5"/>
    </row>
    <row r="37" spans="1:17">
      <c r="D37" s="5"/>
    </row>
    <row r="38" spans="1:17">
      <c r="D38" s="5"/>
    </row>
    <row r="39" spans="1:17">
      <c r="D39" s="5"/>
    </row>
    <row r="40" spans="1:17">
      <c r="D40" s="5"/>
    </row>
    <row r="41" spans="1:17">
      <c r="D41" s="5"/>
    </row>
    <row r="42" spans="1:17">
      <c r="D42" s="5"/>
    </row>
    <row r="43" spans="1:17">
      <c r="D43" s="5"/>
    </row>
    <row r="44" spans="1:17">
      <c r="D44" s="5"/>
    </row>
    <row r="45" spans="1:17">
      <c r="D45" s="5"/>
    </row>
    <row r="46" spans="1:17">
      <c r="D46" s="5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1"/>
  <sheetViews>
    <sheetView workbookViewId="0">
      <selection activeCell="A12" sqref="A12:D23"/>
    </sheetView>
  </sheetViews>
  <sheetFormatPr defaultRowHeight="12.75"/>
  <cols>
    <col min="1" max="1" width="19.7109375" style="15" customWidth="1"/>
    <col min="2" max="2" width="4.42578125" style="14" customWidth="1"/>
    <col min="3" max="3" width="12.7109375" style="15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5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13" t="s">
        <v>33</v>
      </c>
      <c r="I1" s="16" t="s">
        <v>34</v>
      </c>
      <c r="J1" s="17" t="s">
        <v>35</v>
      </c>
    </row>
    <row r="2" spans="1:16">
      <c r="I2" s="18" t="s">
        <v>36</v>
      </c>
      <c r="J2" s="19" t="s">
        <v>37</v>
      </c>
    </row>
    <row r="3" spans="1:16">
      <c r="A3" s="20" t="s">
        <v>38</v>
      </c>
      <c r="I3" s="18" t="s">
        <v>39</v>
      </c>
      <c r="J3" s="19" t="s">
        <v>40</v>
      </c>
    </row>
    <row r="4" spans="1:16">
      <c r="I4" s="18" t="s">
        <v>41</v>
      </c>
      <c r="J4" s="19" t="s">
        <v>40</v>
      </c>
    </row>
    <row r="5" spans="1:16" ht="13.5" thickBot="1">
      <c r="I5" s="21" t="s">
        <v>42</v>
      </c>
      <c r="J5" s="22" t="s">
        <v>43</v>
      </c>
    </row>
    <row r="10" spans="1:16" ht="13.5" thickBot="1"/>
    <row r="11" spans="1:16" ht="12.75" customHeight="1" thickBot="1">
      <c r="A11" s="15" t="str">
        <f t="shared" ref="A11:A23" si="0">P11</f>
        <v> BBS 98 </v>
      </c>
      <c r="B11" s="5" t="str">
        <f t="shared" ref="B11:B23" si="1">IF(H11=INT(H11),"I","II")</f>
        <v>I</v>
      </c>
      <c r="C11" s="15">
        <f t="shared" ref="C11:C23" si="2">1*G11</f>
        <v>48475.53</v>
      </c>
      <c r="D11" s="14" t="str">
        <f t="shared" ref="D11:D23" si="3">VLOOKUP(F11,I$1:J$5,2,FALSE)</f>
        <v>vis</v>
      </c>
      <c r="E11" s="23">
        <f>VLOOKUP(C11,Active!C$21:E$973,3,FALSE)</f>
        <v>5295.0121169223967</v>
      </c>
      <c r="F11" s="5" t="s">
        <v>42</v>
      </c>
      <c r="G11" s="14" t="str">
        <f t="shared" ref="G11:G23" si="4">MID(I11,3,LEN(I11)-3)</f>
        <v>48475.530</v>
      </c>
      <c r="H11" s="15">
        <f t="shared" ref="H11:H23" si="5">1*K11</f>
        <v>5295</v>
      </c>
      <c r="I11" s="24" t="s">
        <v>71</v>
      </c>
      <c r="J11" s="25" t="s">
        <v>72</v>
      </c>
      <c r="K11" s="24">
        <v>5295</v>
      </c>
      <c r="L11" s="24" t="s">
        <v>73</v>
      </c>
      <c r="M11" s="25" t="s">
        <v>59</v>
      </c>
      <c r="N11" s="25"/>
      <c r="O11" s="26" t="s">
        <v>74</v>
      </c>
      <c r="P11" s="26" t="s">
        <v>75</v>
      </c>
    </row>
    <row r="12" spans="1:16" ht="12.75" customHeight="1" thickBot="1">
      <c r="A12" s="15" t="str">
        <f t="shared" si="0"/>
        <v> AC 194.28 </v>
      </c>
      <c r="B12" s="5" t="str">
        <f t="shared" si="1"/>
        <v>I</v>
      </c>
      <c r="C12" s="15">
        <f t="shared" si="2"/>
        <v>15290.36</v>
      </c>
      <c r="D12" s="14" t="str">
        <f t="shared" si="3"/>
        <v>vis</v>
      </c>
      <c r="E12" s="23">
        <f>VLOOKUP(C12,Active!C$21:E$973,3,FALSE)</f>
        <v>1.4360324147642246E-2</v>
      </c>
      <c r="F12" s="5" t="s">
        <v>42</v>
      </c>
      <c r="G12" s="14" t="str">
        <f t="shared" si="4"/>
        <v>15290.36</v>
      </c>
      <c r="H12" s="15">
        <f t="shared" si="5"/>
        <v>0</v>
      </c>
      <c r="I12" s="24" t="s">
        <v>44</v>
      </c>
      <c r="J12" s="25" t="s">
        <v>45</v>
      </c>
      <c r="K12" s="24">
        <v>0</v>
      </c>
      <c r="L12" s="24" t="s">
        <v>46</v>
      </c>
      <c r="M12" s="25" t="s">
        <v>47</v>
      </c>
      <c r="N12" s="25"/>
      <c r="O12" s="26" t="s">
        <v>48</v>
      </c>
      <c r="P12" s="26" t="s">
        <v>49</v>
      </c>
    </row>
    <row r="13" spans="1:16" ht="12.75" customHeight="1" thickBot="1">
      <c r="A13" s="15" t="str">
        <f t="shared" si="0"/>
        <v> AC 194.28 </v>
      </c>
      <c r="B13" s="5" t="str">
        <f t="shared" si="1"/>
        <v>I</v>
      </c>
      <c r="C13" s="15">
        <f t="shared" si="2"/>
        <v>18267.169999999998</v>
      </c>
      <c r="D13" s="14" t="str">
        <f t="shared" si="3"/>
        <v>vis</v>
      </c>
      <c r="E13" s="23">
        <f>VLOOKUP(C13,Active!C$21:E$973,3,FALSE)</f>
        <v>474.99165505607834</v>
      </c>
      <c r="F13" s="5" t="s">
        <v>42</v>
      </c>
      <c r="G13" s="14" t="str">
        <f t="shared" si="4"/>
        <v>18267.17</v>
      </c>
      <c r="H13" s="15">
        <f t="shared" si="5"/>
        <v>475</v>
      </c>
      <c r="I13" s="24" t="s">
        <v>50</v>
      </c>
      <c r="J13" s="25" t="s">
        <v>51</v>
      </c>
      <c r="K13" s="24">
        <v>475</v>
      </c>
      <c r="L13" s="24" t="s">
        <v>52</v>
      </c>
      <c r="M13" s="25" t="s">
        <v>47</v>
      </c>
      <c r="N13" s="25"/>
      <c r="O13" s="26" t="s">
        <v>48</v>
      </c>
      <c r="P13" s="26" t="s">
        <v>49</v>
      </c>
    </row>
    <row r="14" spans="1:16" ht="12.75" customHeight="1" thickBot="1">
      <c r="A14" s="15" t="str">
        <f t="shared" si="0"/>
        <v> AC 194.28 </v>
      </c>
      <c r="B14" s="5" t="str">
        <f t="shared" si="1"/>
        <v>I</v>
      </c>
      <c r="C14" s="15">
        <f t="shared" si="2"/>
        <v>29285.18</v>
      </c>
      <c r="D14" s="14" t="str">
        <f t="shared" si="3"/>
        <v>vis</v>
      </c>
      <c r="E14" s="23">
        <f>VLOOKUP(C14,Active!C$21:E$973,3,FALSE)</f>
        <v>2233.0160446306113</v>
      </c>
      <c r="F14" s="5" t="s">
        <v>42</v>
      </c>
      <c r="G14" s="14" t="str">
        <f t="shared" si="4"/>
        <v>29285.18</v>
      </c>
      <c r="H14" s="15">
        <f t="shared" si="5"/>
        <v>2233</v>
      </c>
      <c r="I14" s="24" t="s">
        <v>53</v>
      </c>
      <c r="J14" s="25" t="s">
        <v>54</v>
      </c>
      <c r="K14" s="24">
        <v>2233</v>
      </c>
      <c r="L14" s="24" t="s">
        <v>55</v>
      </c>
      <c r="M14" s="25" t="s">
        <v>47</v>
      </c>
      <c r="N14" s="25"/>
      <c r="O14" s="26" t="s">
        <v>48</v>
      </c>
      <c r="P14" s="26" t="s">
        <v>49</v>
      </c>
    </row>
    <row r="15" spans="1:16" ht="12.75" customHeight="1" thickBot="1">
      <c r="A15" s="15" t="str">
        <f t="shared" si="0"/>
        <v> AC 194.28 </v>
      </c>
      <c r="B15" s="5" t="str">
        <f t="shared" si="1"/>
        <v>I</v>
      </c>
      <c r="C15" s="15">
        <f t="shared" si="2"/>
        <v>36091.29</v>
      </c>
      <c r="D15" s="14" t="str">
        <f t="shared" si="3"/>
        <v>vis</v>
      </c>
      <c r="E15" s="23">
        <f>VLOOKUP(C15,Active!C$21:E$973,3,FALSE)</f>
        <v>3318.9932200122926</v>
      </c>
      <c r="F15" s="5" t="s">
        <v>42</v>
      </c>
      <c r="G15" s="14" t="str">
        <f t="shared" si="4"/>
        <v>36091.29</v>
      </c>
      <c r="H15" s="15">
        <f t="shared" si="5"/>
        <v>3319</v>
      </c>
      <c r="I15" s="24" t="s">
        <v>56</v>
      </c>
      <c r="J15" s="25" t="s">
        <v>57</v>
      </c>
      <c r="K15" s="24">
        <v>3319</v>
      </c>
      <c r="L15" s="24" t="s">
        <v>58</v>
      </c>
      <c r="M15" s="25" t="s">
        <v>59</v>
      </c>
      <c r="N15" s="25"/>
      <c r="O15" s="26" t="s">
        <v>48</v>
      </c>
      <c r="P15" s="26" t="s">
        <v>49</v>
      </c>
    </row>
    <row r="16" spans="1:16" ht="12.75" customHeight="1" thickBot="1">
      <c r="A16" s="15" t="str">
        <f t="shared" si="0"/>
        <v> AC 194.28 </v>
      </c>
      <c r="B16" s="5" t="str">
        <f t="shared" si="1"/>
        <v>I</v>
      </c>
      <c r="C16" s="15">
        <f t="shared" si="2"/>
        <v>36110.21</v>
      </c>
      <c r="D16" s="14" t="str">
        <f t="shared" si="3"/>
        <v>vis</v>
      </c>
      <c r="E16" s="23">
        <f>VLOOKUP(C16,Active!C$21:E$973,3,FALSE)</f>
        <v>3322.0120792664366</v>
      </c>
      <c r="F16" s="5" t="s">
        <v>42</v>
      </c>
      <c r="G16" s="14" t="str">
        <f t="shared" si="4"/>
        <v>36110.21</v>
      </c>
      <c r="H16" s="15">
        <f t="shared" si="5"/>
        <v>3322</v>
      </c>
      <c r="I16" s="24" t="s">
        <v>60</v>
      </c>
      <c r="J16" s="25" t="s">
        <v>61</v>
      </c>
      <c r="K16" s="24">
        <v>3322</v>
      </c>
      <c r="L16" s="24" t="s">
        <v>62</v>
      </c>
      <c r="M16" s="25" t="s">
        <v>59</v>
      </c>
      <c r="N16" s="25"/>
      <c r="O16" s="26" t="s">
        <v>48</v>
      </c>
      <c r="P16" s="26" t="s">
        <v>49</v>
      </c>
    </row>
    <row r="17" spans="1:16" ht="12.75" customHeight="1" thickBot="1">
      <c r="A17" s="15" t="str">
        <f t="shared" si="0"/>
        <v> AC 194.28 </v>
      </c>
      <c r="B17" s="5" t="str">
        <f t="shared" si="1"/>
        <v>I</v>
      </c>
      <c r="C17" s="15">
        <f t="shared" si="2"/>
        <v>36141.42</v>
      </c>
      <c r="D17" s="14" t="str">
        <f t="shared" si="3"/>
        <v>vis</v>
      </c>
      <c r="E17" s="23">
        <f>VLOOKUP(C17,Active!C$21:E$973,3,FALSE)</f>
        <v>3326.991920562516</v>
      </c>
      <c r="F17" s="5" t="s">
        <v>42</v>
      </c>
      <c r="G17" s="14" t="str">
        <f t="shared" si="4"/>
        <v>36141.42</v>
      </c>
      <c r="H17" s="15">
        <f t="shared" si="5"/>
        <v>3327</v>
      </c>
      <c r="I17" s="24" t="s">
        <v>63</v>
      </c>
      <c r="J17" s="25" t="s">
        <v>64</v>
      </c>
      <c r="K17" s="24">
        <v>3327</v>
      </c>
      <c r="L17" s="24" t="s">
        <v>52</v>
      </c>
      <c r="M17" s="25" t="s">
        <v>59</v>
      </c>
      <c r="N17" s="25"/>
      <c r="O17" s="26" t="s">
        <v>48</v>
      </c>
      <c r="P17" s="26" t="s">
        <v>49</v>
      </c>
    </row>
    <row r="18" spans="1:16" ht="12.75" customHeight="1" thickBot="1">
      <c r="A18" s="15" t="str">
        <f t="shared" si="0"/>
        <v> AC 194.28 </v>
      </c>
      <c r="B18" s="5" t="str">
        <f t="shared" si="1"/>
        <v>I</v>
      </c>
      <c r="C18" s="15">
        <f t="shared" si="2"/>
        <v>36354.42</v>
      </c>
      <c r="D18" s="14" t="str">
        <f t="shared" si="3"/>
        <v>vis</v>
      </c>
      <c r="E18" s="23">
        <f>VLOOKUP(C18,Active!C$21:E$973,3,FALSE)</f>
        <v>3360.9780210452145</v>
      </c>
      <c r="F18" s="5" t="s">
        <v>42</v>
      </c>
      <c r="G18" s="14" t="str">
        <f t="shared" si="4"/>
        <v>36354.42</v>
      </c>
      <c r="H18" s="15">
        <f t="shared" si="5"/>
        <v>3361</v>
      </c>
      <c r="I18" s="24" t="s">
        <v>65</v>
      </c>
      <c r="J18" s="25" t="s">
        <v>66</v>
      </c>
      <c r="K18" s="24">
        <v>3361</v>
      </c>
      <c r="L18" s="24" t="s">
        <v>67</v>
      </c>
      <c r="M18" s="25" t="s">
        <v>59</v>
      </c>
      <c r="N18" s="25"/>
      <c r="O18" s="26" t="s">
        <v>48</v>
      </c>
      <c r="P18" s="26" t="s">
        <v>49</v>
      </c>
    </row>
    <row r="19" spans="1:16" ht="12.75" customHeight="1" thickBot="1">
      <c r="A19" s="15" t="str">
        <f t="shared" si="0"/>
        <v> AC 194.28 </v>
      </c>
      <c r="B19" s="5" t="str">
        <f t="shared" si="1"/>
        <v>I</v>
      </c>
      <c r="C19" s="15">
        <f t="shared" si="2"/>
        <v>36373.379999999997</v>
      </c>
      <c r="D19" s="14" t="str">
        <f t="shared" si="3"/>
        <v>vis</v>
      </c>
      <c r="E19" s="23">
        <f>VLOOKUP(C19,Active!C$21:E$973,3,FALSE)</f>
        <v>3364.0032626656462</v>
      </c>
      <c r="F19" s="5" t="s">
        <v>42</v>
      </c>
      <c r="G19" s="14" t="str">
        <f t="shared" si="4"/>
        <v>36373.38</v>
      </c>
      <c r="H19" s="15">
        <f t="shared" si="5"/>
        <v>3364</v>
      </c>
      <c r="I19" s="24" t="s">
        <v>68</v>
      </c>
      <c r="J19" s="25" t="s">
        <v>69</v>
      </c>
      <c r="K19" s="24">
        <v>3364</v>
      </c>
      <c r="L19" s="24" t="s">
        <v>70</v>
      </c>
      <c r="M19" s="25" t="s">
        <v>59</v>
      </c>
      <c r="N19" s="25"/>
      <c r="O19" s="26" t="s">
        <v>48</v>
      </c>
      <c r="P19" s="26" t="s">
        <v>49</v>
      </c>
    </row>
    <row r="20" spans="1:16" ht="12.75" customHeight="1" thickBot="1">
      <c r="A20" s="15" t="str">
        <f t="shared" si="0"/>
        <v> BBS 119 </v>
      </c>
      <c r="B20" s="5" t="str">
        <f t="shared" si="1"/>
        <v>I</v>
      </c>
      <c r="C20" s="15">
        <f t="shared" si="2"/>
        <v>51051.425000000003</v>
      </c>
      <c r="D20" s="14" t="str">
        <f t="shared" si="3"/>
        <v>vis</v>
      </c>
      <c r="E20" s="23">
        <f>VLOOKUP(C20,Active!C$21:E$973,3,FALSE)</f>
        <v>5706.0197521471873</v>
      </c>
      <c r="F20" s="5" t="s">
        <v>42</v>
      </c>
      <c r="G20" s="14" t="str">
        <f t="shared" si="4"/>
        <v>51051.425</v>
      </c>
      <c r="H20" s="15">
        <f t="shared" si="5"/>
        <v>5706</v>
      </c>
      <c r="I20" s="24" t="s">
        <v>76</v>
      </c>
      <c r="J20" s="25" t="s">
        <v>77</v>
      </c>
      <c r="K20" s="24">
        <v>5706</v>
      </c>
      <c r="L20" s="24" t="s">
        <v>78</v>
      </c>
      <c r="M20" s="25" t="s">
        <v>59</v>
      </c>
      <c r="N20" s="25"/>
      <c r="O20" s="26" t="s">
        <v>79</v>
      </c>
      <c r="P20" s="26" t="s">
        <v>80</v>
      </c>
    </row>
    <row r="21" spans="1:16" ht="12.75" customHeight="1" thickBot="1">
      <c r="A21" s="15" t="str">
        <f t="shared" si="0"/>
        <v> BBS 119 </v>
      </c>
      <c r="B21" s="5" t="str">
        <f t="shared" si="1"/>
        <v>I</v>
      </c>
      <c r="C21" s="15">
        <f t="shared" si="2"/>
        <v>51076.404000000002</v>
      </c>
      <c r="D21" s="14" t="str">
        <f t="shared" si="3"/>
        <v>vis</v>
      </c>
      <c r="E21" s="23">
        <f>VLOOKUP(C21,Active!C$21:E$973,3,FALSE)</f>
        <v>5710.0053803347819</v>
      </c>
      <c r="F21" s="5" t="s">
        <v>42</v>
      </c>
      <c r="G21" s="14" t="str">
        <f t="shared" si="4"/>
        <v>51076.404</v>
      </c>
      <c r="H21" s="15">
        <f t="shared" si="5"/>
        <v>5710</v>
      </c>
      <c r="I21" s="24" t="s">
        <v>81</v>
      </c>
      <c r="J21" s="25" t="s">
        <v>82</v>
      </c>
      <c r="K21" s="24">
        <v>5710</v>
      </c>
      <c r="L21" s="24" t="s">
        <v>83</v>
      </c>
      <c r="M21" s="25" t="s">
        <v>59</v>
      </c>
      <c r="N21" s="25"/>
      <c r="O21" s="26" t="s">
        <v>79</v>
      </c>
      <c r="P21" s="26" t="s">
        <v>80</v>
      </c>
    </row>
    <row r="22" spans="1:16" ht="12.75" customHeight="1" thickBot="1">
      <c r="A22" s="15" t="str">
        <f t="shared" si="0"/>
        <v> BRNO 32 </v>
      </c>
      <c r="B22" s="5" t="str">
        <f t="shared" si="1"/>
        <v>I</v>
      </c>
      <c r="C22" s="15">
        <f t="shared" si="2"/>
        <v>51665.532700000003</v>
      </c>
      <c r="D22" s="14" t="str">
        <f t="shared" si="3"/>
        <v>vis</v>
      </c>
      <c r="E22" s="23">
        <f>VLOOKUP(C22,Active!C$21:E$973,3,FALSE)</f>
        <v>5804.0062591866199</v>
      </c>
      <c r="F22" s="5" t="s">
        <v>42</v>
      </c>
      <c r="G22" s="14" t="str">
        <f t="shared" si="4"/>
        <v>51665.5327</v>
      </c>
      <c r="H22" s="15">
        <f t="shared" si="5"/>
        <v>5804</v>
      </c>
      <c r="I22" s="24" t="s">
        <v>84</v>
      </c>
      <c r="J22" s="25" t="s">
        <v>85</v>
      </c>
      <c r="K22" s="24">
        <v>5804</v>
      </c>
      <c r="L22" s="24" t="s">
        <v>86</v>
      </c>
      <c r="M22" s="25" t="s">
        <v>87</v>
      </c>
      <c r="N22" s="25" t="s">
        <v>88</v>
      </c>
      <c r="O22" s="26" t="s">
        <v>89</v>
      </c>
      <c r="P22" s="26" t="s">
        <v>90</v>
      </c>
    </row>
    <row r="23" spans="1:16" ht="12.75" customHeight="1" thickBot="1">
      <c r="A23" s="15" t="str">
        <f t="shared" si="0"/>
        <v>BAVM 193 </v>
      </c>
      <c r="B23" s="5" t="str">
        <f t="shared" si="1"/>
        <v>I</v>
      </c>
      <c r="C23" s="15">
        <f t="shared" si="2"/>
        <v>54360.510999999999</v>
      </c>
      <c r="D23" s="14" t="str">
        <f t="shared" si="3"/>
        <v>vis</v>
      </c>
      <c r="E23" s="23">
        <f>VLOOKUP(C23,Active!C$21:E$973,3,FALSE)</f>
        <v>6234.0147253954992</v>
      </c>
      <c r="F23" s="5" t="s">
        <v>42</v>
      </c>
      <c r="G23" s="14" t="str">
        <f t="shared" si="4"/>
        <v>54360.5110</v>
      </c>
      <c r="H23" s="15">
        <f t="shared" si="5"/>
        <v>6234</v>
      </c>
      <c r="I23" s="24" t="s">
        <v>91</v>
      </c>
      <c r="J23" s="25" t="s">
        <v>92</v>
      </c>
      <c r="K23" s="24">
        <v>6234</v>
      </c>
      <c r="L23" s="24" t="s">
        <v>93</v>
      </c>
      <c r="M23" s="25" t="s">
        <v>94</v>
      </c>
      <c r="N23" s="25" t="s">
        <v>95</v>
      </c>
      <c r="O23" s="26" t="s">
        <v>96</v>
      </c>
      <c r="P23" s="27" t="s">
        <v>97</v>
      </c>
    </row>
    <row r="24" spans="1:16">
      <c r="B24" s="5"/>
      <c r="F24" s="5"/>
    </row>
    <row r="25" spans="1:16">
      <c r="B25" s="5"/>
      <c r="F25" s="5"/>
    </row>
    <row r="26" spans="1:16">
      <c r="B26" s="5"/>
      <c r="F26" s="5"/>
    </row>
    <row r="27" spans="1:16">
      <c r="B27" s="5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</sheetData>
  <phoneticPr fontId="6" type="noConversion"/>
  <hyperlinks>
    <hyperlink ref="P23" r:id="rId1" display="http://www.bav-astro.de/sfs/BAVM_link.php?BAVMnr=19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2024-01-31T04:20:46Z</dcterms:modified>
</cp:coreProperties>
</file>