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881E088-A575-49A0-887A-4B4DB51BD30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E26" i="1"/>
  <c r="F26" i="1"/>
  <c r="E31" i="1"/>
  <c r="F31" i="1"/>
  <c r="E34" i="1"/>
  <c r="F34" i="1"/>
  <c r="F16" i="1"/>
  <c r="F17" i="1" s="1"/>
  <c r="D9" i="1"/>
  <c r="C9" i="1"/>
  <c r="Q22" i="1"/>
  <c r="Q23" i="1"/>
  <c r="Q24" i="1"/>
  <c r="Q25" i="1"/>
  <c r="Q27" i="1"/>
  <c r="Q28" i="1"/>
  <c r="Q29" i="1"/>
  <c r="Q30" i="1"/>
  <c r="Q31" i="1"/>
  <c r="Q32" i="1"/>
  <c r="Q35" i="1"/>
  <c r="Q36" i="1"/>
  <c r="Q37" i="1"/>
  <c r="G13" i="2"/>
  <c r="C13" i="2"/>
  <c r="G27" i="2"/>
  <c r="C27" i="2"/>
  <c r="G26" i="2"/>
  <c r="C26" i="2"/>
  <c r="G25" i="2"/>
  <c r="C25" i="2"/>
  <c r="G12" i="2"/>
  <c r="C12" i="2"/>
  <c r="E12" i="2"/>
  <c r="G11" i="2"/>
  <c r="C11" i="2"/>
  <c r="G24" i="2"/>
  <c r="C24" i="2"/>
  <c r="G23" i="2"/>
  <c r="C23" i="2"/>
  <c r="E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E16" i="2"/>
  <c r="G15" i="2"/>
  <c r="C15" i="2"/>
  <c r="G14" i="2"/>
  <c r="C14" i="2"/>
  <c r="H13" i="2"/>
  <c r="D13" i="2"/>
  <c r="B13" i="2"/>
  <c r="A13" i="2"/>
  <c r="H27" i="2"/>
  <c r="B27" i="2"/>
  <c r="D27" i="2"/>
  <c r="A27" i="2"/>
  <c r="H26" i="2"/>
  <c r="D26" i="2"/>
  <c r="B26" i="2"/>
  <c r="A26" i="2"/>
  <c r="H25" i="2"/>
  <c r="B25" i="2"/>
  <c r="D25" i="2"/>
  <c r="A25" i="2"/>
  <c r="H12" i="2"/>
  <c r="D12" i="2"/>
  <c r="B12" i="2"/>
  <c r="A12" i="2"/>
  <c r="H11" i="2"/>
  <c r="B11" i="2"/>
  <c r="D11" i="2"/>
  <c r="A11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Q38" i="1"/>
  <c r="C17" i="1"/>
  <c r="Q34" i="1"/>
  <c r="Q33" i="1"/>
  <c r="C7" i="1"/>
  <c r="E21" i="1"/>
  <c r="F21" i="1"/>
  <c r="C8" i="1"/>
  <c r="Q26" i="1"/>
  <c r="E14" i="2"/>
  <c r="E19" i="2"/>
  <c r="E13" i="2"/>
  <c r="E26" i="2"/>
  <c r="E18" i="2"/>
  <c r="E36" i="1"/>
  <c r="F36" i="1"/>
  <c r="G36" i="1"/>
  <c r="I36" i="1"/>
  <c r="E28" i="1"/>
  <c r="F28" i="1"/>
  <c r="G28" i="1"/>
  <c r="H28" i="1"/>
  <c r="E33" i="1"/>
  <c r="F33" i="1"/>
  <c r="G33" i="1"/>
  <c r="I33" i="1"/>
  <c r="E25" i="1"/>
  <c r="F25" i="1"/>
  <c r="G25" i="1"/>
  <c r="H25" i="1"/>
  <c r="E38" i="1"/>
  <c r="F38" i="1"/>
  <c r="G38" i="1"/>
  <c r="J38" i="1"/>
  <c r="E30" i="1"/>
  <c r="F30" i="1"/>
  <c r="G30" i="1"/>
  <c r="H30" i="1"/>
  <c r="E22" i="1"/>
  <c r="F22" i="1"/>
  <c r="G22" i="1"/>
  <c r="H22" i="1"/>
  <c r="E35" i="1"/>
  <c r="F35" i="1"/>
  <c r="G35" i="1"/>
  <c r="I35" i="1"/>
  <c r="E27" i="1"/>
  <c r="F27" i="1"/>
  <c r="G27" i="1"/>
  <c r="H27" i="1"/>
  <c r="G21" i="1"/>
  <c r="G34" i="1"/>
  <c r="J34" i="1"/>
  <c r="E32" i="1"/>
  <c r="G26" i="1"/>
  <c r="H26" i="1"/>
  <c r="E24" i="1"/>
  <c r="F24" i="1"/>
  <c r="G24" i="1"/>
  <c r="H24" i="1"/>
  <c r="E37" i="1"/>
  <c r="G31" i="1"/>
  <c r="I31" i="1"/>
  <c r="E29" i="1"/>
  <c r="G23" i="1"/>
  <c r="H23" i="1"/>
  <c r="E17" i="2"/>
  <c r="F29" i="1"/>
  <c r="G29" i="1"/>
  <c r="E21" i="2"/>
  <c r="E15" i="2"/>
  <c r="E27" i="2"/>
  <c r="F37" i="1"/>
  <c r="G37" i="1"/>
  <c r="I37" i="1"/>
  <c r="E25" i="2"/>
  <c r="H21" i="1"/>
  <c r="E22" i="2"/>
  <c r="E11" i="2"/>
  <c r="F32" i="1"/>
  <c r="G32" i="1"/>
  <c r="I32" i="1"/>
  <c r="E24" i="2"/>
  <c r="E20" i="2"/>
  <c r="H29" i="1"/>
  <c r="C11" i="1"/>
  <c r="C12" i="1"/>
  <c r="C16" i="1" l="1"/>
  <c r="D18" i="1" s="1"/>
  <c r="O27" i="1"/>
  <c r="O28" i="1"/>
  <c r="O36" i="1"/>
  <c r="O37" i="1"/>
  <c r="O32" i="1"/>
  <c r="O26" i="1"/>
  <c r="O21" i="1"/>
  <c r="O22" i="1"/>
  <c r="C15" i="1"/>
  <c r="O24" i="1"/>
  <c r="O25" i="1"/>
  <c r="O30" i="1"/>
  <c r="O31" i="1"/>
  <c r="O33" i="1"/>
  <c r="O29" i="1"/>
  <c r="O38" i="1"/>
  <c r="O34" i="1"/>
  <c r="O23" i="1"/>
  <c r="O35" i="1"/>
  <c r="C18" i="1" l="1"/>
  <c r="F18" i="1"/>
  <c r="F19" i="1" s="1"/>
</calcChain>
</file>

<file path=xl/sharedStrings.xml><?xml version="1.0" encoding="utf-8"?>
<sst xmlns="http://schemas.openxmlformats.org/spreadsheetml/2006/main" count="234" uniqueCount="134">
  <si>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</si>
  <si>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</si>
  <si>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</si>
  <si>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</si>
  <si>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</si>
  <si>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</si>
  <si>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</si>
  <si>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</si>
  <si>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</si>
  <si>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</si>
  <si>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</si>
  <si>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</si>
  <si>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</si>
  <si>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</si>
  <si>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</si>
  <si>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</si>
  <si>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</si>
  <si>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</si>
  <si>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</si>
  <si>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</si>
  <si>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</si>
  <si>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</si>
  <si>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</si>
  <si>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</si>
  <si>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</si>
  <si>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</si>
  <si>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</si>
  <si>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</si>
  <si>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</si>
  <si>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</si>
  <si>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Bull.92</t>
  </si>
  <si>
    <t>B</t>
  </si>
  <si>
    <t>IBVS 5016</t>
  </si>
  <si>
    <t># of data points:</t>
  </si>
  <si>
    <t>EA/SD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</si>
  <si>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</si>
  <si>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</si>
  <si>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</si>
  <si>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</si>
  <si>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</si>
  <si>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</si>
  <si>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</si>
  <si>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</si>
  <si>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</si>
  <si>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</si>
  <si>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</si>
  <si>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</si>
  <si>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2414784.40 </t>
  </si>
  <si>
    <t> 09.05.1899 21:36 </t>
  </si>
  <si>
    <t> -0.00 </t>
  </si>
  <si>
    <t>P </t>
  </si>
  <si>
    <t> N.B.Perova </t>
  </si>
  <si>
    <t> PZ 9.145 </t>
  </si>
  <si>
    <t>2415291.27 </t>
  </si>
  <si>
    <t> 28.09.1900 18:28 </t>
  </si>
  <si>
    <t> -0.03 </t>
  </si>
  <si>
    <t>2416736.38 </t>
  </si>
  <si>
    <t> 12.09.1904 21:07 </t>
  </si>
  <si>
    <t> -0.02 </t>
  </si>
  <si>
    <t>2428408.41 </t>
  </si>
  <si>
    <t> 27.08.1936 21:50 </t>
  </si>
  <si>
    <t> 0.03 </t>
  </si>
  <si>
    <t> P.Parenago </t>
  </si>
  <si>
    <t> PZ 5.206 </t>
  </si>
  <si>
    <t>2428759.48 </t>
  </si>
  <si>
    <t> 13.08.1937 23:31 </t>
  </si>
  <si>
    <t> -0.17 </t>
  </si>
  <si>
    <t>2428789.34 </t>
  </si>
  <si>
    <t> 12.09.1937 20:09 </t>
  </si>
  <si>
    <t> 0.79 </t>
  </si>
  <si>
    <t>2429582.26 </t>
  </si>
  <si>
    <t> 14.11.1939 18:14 </t>
  </si>
  <si>
    <t> 0.01 </t>
  </si>
  <si>
    <t>2432850.36 </t>
  </si>
  <si>
    <t> 25.10.1948 20:38 </t>
  </si>
  <si>
    <t> -0.04 </t>
  </si>
  <si>
    <t>2433895.35 </t>
  </si>
  <si>
    <t> 05.09.1951 20:24 </t>
  </si>
  <si>
    <t>2447030.407 </t>
  </si>
  <si>
    <t> 22.08.1987 21:46 </t>
  </si>
  <si>
    <t> 0.225 </t>
  </si>
  <si>
    <t>V </t>
  </si>
  <si>
    <t> J.Borovicka </t>
  </si>
  <si>
    <t> BRNO 30 </t>
  </si>
  <si>
    <t>2447030.415 </t>
  </si>
  <si>
    <t> 22.08.1987 21:57 </t>
  </si>
  <si>
    <t> 0.233 </t>
  </si>
  <si>
    <t> A.Slatinsky </t>
  </si>
  <si>
    <t>2447777.426 </t>
  </si>
  <si>
    <t> 07.09.1989 22:13 </t>
  </si>
  <si>
    <t> 0.237 </t>
  </si>
  <si>
    <t> K.Locher </t>
  </si>
  <si>
    <t> BBS 92 </t>
  </si>
  <si>
    <t>2451343.5054 </t>
  </si>
  <si>
    <t> 14.06.1999 00:07 </t>
  </si>
  <si>
    <t> 0.2503 </t>
  </si>
  <si>
    <t>E </t>
  </si>
  <si>
    <t>o</t>
  </si>
  <si>
    <t> D.Husar </t>
  </si>
  <si>
    <t>BAVM 132 </t>
  </si>
  <si>
    <t>2454282.6785 </t>
  </si>
  <si>
    <t> 01.07.2007 04:17 </t>
  </si>
  <si>
    <t> 0.3087 </t>
  </si>
  <si>
    <t>C </t>
  </si>
  <si>
    <t>-I</t>
  </si>
  <si>
    <t> F.Agerer </t>
  </si>
  <si>
    <t>BAVM 203 </t>
  </si>
  <si>
    <t>2454389.3947 </t>
  </si>
  <si>
    <t> 15.10.2007 21:28 </t>
  </si>
  <si>
    <t>5758</t>
  </si>
  <si>
    <t> 0.3097 </t>
  </si>
  <si>
    <t> U.Schmidt </t>
  </si>
  <si>
    <t>BAVM 193 </t>
  </si>
  <si>
    <t>2454798.4741 </t>
  </si>
  <si>
    <t> 27.11.2008 23:22 </t>
  </si>
  <si>
    <t>5850</t>
  </si>
  <si>
    <t> 0.3142 </t>
  </si>
  <si>
    <t>2456928.4091 </t>
  </si>
  <si>
    <t> 27.09.2014 21:49 </t>
  </si>
  <si>
    <t>6329</t>
  </si>
  <si>
    <t> 0.3915 </t>
  </si>
  <si>
    <t>BAVM 239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</si>
  <si>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</si>
  <si>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</si>
  <si>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</si>
  <si>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</si>
  <si>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</si>
  <si>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</si>
  <si>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</si>
  <si>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</si>
  <si>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</si>
  <si>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</si>
  <si>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V0642 Cyg / gsc 3971-0408</t>
  </si>
  <si>
    <t>09/05/1899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</si>
</sst>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3" fillId="2" borderId="12" xfId="7" applyFill="1" applyBorder="1" applyAlignment="1" applyProtection="1">
      <alignment horizontal="right" vertical="top" wrapText="1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>
      <alignment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20" fillId="0" borderId="0" xfId="0" applyFont="1" applyAlignment="1"/>
    <xf numFmtId="14" fontId="19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 Cyg - O-C Diagr.</a:t>
            </a:r>
          </a:p>
        </c:rich>
      </c:tx>
      <c:layout>
        <c:manualLayout>
          <c:xMode val="edge"/>
          <c:yMode val="edge"/>
          <c:x val="0.367601736698800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2605098515835"/>
          <c:y val="0.15"/>
          <c:w val="0.8271040618673059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-3.4170000017184066E-3</c:v>
                </c:pt>
                <c:pt idx="1">
                  <c:v>-3.0655000000479049E-2</c:v>
                </c:pt>
                <c:pt idx="2">
                  <c:v>-2.2430000000895234E-2</c:v>
                </c:pt>
                <c:pt idx="3">
                  <c:v>3.1694999997853301E-2</c:v>
                </c:pt>
                <c:pt idx="4">
                  <c:v>-0.16919800000323448</c:v>
                </c:pt>
                <c:pt idx="5">
                  <c:v>0</c:v>
                </c:pt>
                <c:pt idx="6">
                  <c:v>0.78876649999801884</c:v>
                </c:pt>
                <c:pt idx="7">
                  <c:v>1.4406999998755055E-2</c:v>
                </c:pt>
                <c:pt idx="8">
                  <c:v>-3.8838000000396278E-2</c:v>
                </c:pt>
                <c:pt idx="9">
                  <c:v>3.141699999832781E-2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3E-4F51-B2CF-F31D5F962C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0">
                  <c:v>0.22489900000073249</c:v>
                </c:pt>
                <c:pt idx="11">
                  <c:v>0.2328990000023623</c:v>
                </c:pt>
                <c:pt idx="12">
                  <c:v>0.23744299999816576</c:v>
                </c:pt>
                <c:pt idx="14">
                  <c:v>0.3087219999943045</c:v>
                </c:pt>
                <c:pt idx="15">
                  <c:v>0.30971399999543792</c:v>
                </c:pt>
                <c:pt idx="16">
                  <c:v>0.31414999999833526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3E-4F51-B2CF-F31D5F962C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3">
                  <c:v>0.25030900000274414</c:v>
                </c:pt>
                <c:pt idx="17">
                  <c:v>0.3914569999978994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3E-4F51-B2CF-F31D5F962C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3E-4F51-B2CF-F31D5F962C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3E-4F51-B2CF-F31D5F962C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3E-4F51-B2CF-F31D5F962C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3E-4F51-B2CF-F31D5F962C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-3149</c:v>
                </c:pt>
                <c:pt idx="1">
                  <c:v>-3035</c:v>
                </c:pt>
                <c:pt idx="2">
                  <c:v>-2710</c:v>
                </c:pt>
                <c:pt idx="3">
                  <c:v>-85</c:v>
                </c:pt>
                <c:pt idx="4">
                  <c:v>-6</c:v>
                </c:pt>
                <c:pt idx="5">
                  <c:v>0</c:v>
                </c:pt>
                <c:pt idx="6">
                  <c:v>0.5</c:v>
                </c:pt>
                <c:pt idx="7">
                  <c:v>179</c:v>
                </c:pt>
                <c:pt idx="8">
                  <c:v>914</c:v>
                </c:pt>
                <c:pt idx="9">
                  <c:v>1149</c:v>
                </c:pt>
                <c:pt idx="10">
                  <c:v>4103</c:v>
                </c:pt>
                <c:pt idx="11">
                  <c:v>4103</c:v>
                </c:pt>
                <c:pt idx="12">
                  <c:v>4271</c:v>
                </c:pt>
                <c:pt idx="13">
                  <c:v>5073</c:v>
                </c:pt>
                <c:pt idx="14">
                  <c:v>5734</c:v>
                </c:pt>
                <c:pt idx="15">
                  <c:v>5758</c:v>
                </c:pt>
                <c:pt idx="16">
                  <c:v>5850</c:v>
                </c:pt>
                <c:pt idx="17">
                  <c:v>6329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-2.8318414196392278E-2</c:v>
                </c:pt>
                <c:pt idx="1">
                  <c:v>-2.4090242971703021E-2</c:v>
                </c:pt>
                <c:pt idx="2">
                  <c:v>-1.2036246059211705E-2</c:v>
                </c:pt>
                <c:pt idx="3">
                  <c:v>8.5322959772448873E-2</c:v>
                </c:pt>
                <c:pt idx="4">
                  <c:v>8.8253008252715995E-2</c:v>
                </c:pt>
                <c:pt idx="5">
                  <c:v>8.8475543580331217E-2</c:v>
                </c:pt>
                <c:pt idx="6">
                  <c:v>8.8494088190965825E-2</c:v>
                </c:pt>
                <c:pt idx="7">
                  <c:v>9.5114514187518734E-2</c:v>
                </c:pt>
                <c:pt idx="8">
                  <c:v>0.1223750918203837</c:v>
                </c:pt>
                <c:pt idx="9">
                  <c:v>0.13109105881864666</c:v>
                </c:pt>
                <c:pt idx="10">
                  <c:v>0.24065261844787536</c:v>
                </c:pt>
                <c:pt idx="11">
                  <c:v>0.24065261844787536</c:v>
                </c:pt>
                <c:pt idx="12">
                  <c:v>0.24688360762110165</c:v>
                </c:pt>
                <c:pt idx="13">
                  <c:v>0.27662916307900332</c:v>
                </c:pt>
                <c:pt idx="14">
                  <c:v>0.30114513833794715</c:v>
                </c:pt>
                <c:pt idx="15">
                  <c:v>0.30203527964840804</c:v>
                </c:pt>
                <c:pt idx="16">
                  <c:v>0.30544748800517485</c:v>
                </c:pt>
                <c:pt idx="17">
                  <c:v>0.32321322499312355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3E-4F51-B2CF-F31D5F962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295728"/>
        <c:axId val="1"/>
      </c:scatterChart>
      <c:valAx>
        <c:axId val="886295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50038838603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295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29939248248174"/>
          <c:y val="0.91874999999999996"/>
          <c:w val="0.6510913238648906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16</xdr:col>
      <xdr:colOff>523875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47200A-12CE-A7CB-E5A1-5648F3EF4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203" TargetMode="External"/><Relationship Id="rId1" Type="http://schemas.openxmlformats.org/officeDocument/2006/relationships/hyperlink" Target="http://www.bav-astro.de/sfs/BAVM_link.php?BAVMnr=132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R34" sqref="R3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46" t="s">
        <v>132</v>
      </c>
    </row>
    <row r="2" spans="1:6">
      <c r="A2" t="s">
        <v>25</v>
      </c>
      <c r="B2" s="15" t="s">
        <v>34</v>
      </c>
    </row>
    <row r="4" spans="1:6">
      <c r="A4" s="7" t="s">
        <v>0</v>
      </c>
      <c r="C4" s="2">
        <v>28786.328000000001</v>
      </c>
      <c r="D4" s="3">
        <v>4.4464670000000002</v>
      </c>
    </row>
    <row r="5" spans="1:6">
      <c r="A5" s="36" t="s">
        <v>124</v>
      </c>
      <c r="B5" s="19"/>
      <c r="C5" s="37">
        <v>-9.5</v>
      </c>
      <c r="D5" s="19" t="s">
        <v>125</v>
      </c>
    </row>
    <row r="6" spans="1:6">
      <c r="A6" s="7" t="s">
        <v>1</v>
      </c>
    </row>
    <row r="7" spans="1:6">
      <c r="A7" t="s">
        <v>2</v>
      </c>
      <c r="C7">
        <f>+C4</f>
        <v>28786.328000000001</v>
      </c>
    </row>
    <row r="8" spans="1:6">
      <c r="A8" t="s">
        <v>3</v>
      </c>
      <c r="C8">
        <f>+D4</f>
        <v>4.4464670000000002</v>
      </c>
    </row>
    <row r="9" spans="1:6">
      <c r="A9" s="38" t="s">
        <v>126</v>
      </c>
      <c r="B9" s="39">
        <v>21</v>
      </c>
      <c r="C9" s="40" t="str">
        <f>"F"&amp;B9</f>
        <v>F21</v>
      </c>
      <c r="D9" s="41" t="str">
        <f>"G"&amp;B9</f>
        <v>G21</v>
      </c>
    </row>
    <row r="10" spans="1:6" ht="13.5" thickBot="1">
      <c r="C10" s="6" t="s">
        <v>20</v>
      </c>
      <c r="D10" s="6" t="s">
        <v>21</v>
      </c>
    </row>
    <row r="11" spans="1:6">
      <c r="A11" t="s">
        <v>16</v>
      </c>
      <c r="C11" s="42">
        <f ca="1">INTERCEPT(INDIRECT($D$9):G978,INDIRECT($C$9):F978)</f>
        <v>8.8475543580331217E-2</v>
      </c>
      <c r="D11" s="5"/>
    </row>
    <row r="12" spans="1:6">
      <c r="A12" t="s">
        <v>17</v>
      </c>
      <c r="C12" s="42">
        <f ca="1">SLOPE(INDIRECT($D$9):G978,INDIRECT($C$9):F978)</f>
        <v>3.7089221269204033E-5</v>
      </c>
      <c r="D12" s="5"/>
    </row>
    <row r="13" spans="1:6">
      <c r="A13" t="s">
        <v>19</v>
      </c>
      <c r="C13" s="5" t="s">
        <v>14</v>
      </c>
      <c r="D13" s="5"/>
    </row>
    <row r="14" spans="1:6">
      <c r="A14" t="s">
        <v>24</v>
      </c>
    </row>
    <row r="15" spans="1:6">
      <c r="A15" s="4" t="s">
        <v>18</v>
      </c>
      <c r="C15" s="10">
        <f ca="1">(C7+C11)+(C8+C12)*INT(MAX(F21:F3533))</f>
        <v>56928.340856224997</v>
      </c>
      <c r="E15" s="43" t="s">
        <v>127</v>
      </c>
      <c r="F15" s="37">
        <v>1</v>
      </c>
    </row>
    <row r="16" spans="1:6">
      <c r="A16" s="7" t="s">
        <v>4</v>
      </c>
      <c r="C16" s="11">
        <f ca="1">+C8+C12</f>
        <v>4.4465040892212695</v>
      </c>
      <c r="E16" s="43" t="s">
        <v>128</v>
      </c>
      <c r="F16" s="44">
        <f ca="1">NOW()+15018.5+$C$5/24</f>
        <v>60340.727449768514</v>
      </c>
    </row>
    <row r="17" spans="1:17" ht="13.5" thickBot="1">
      <c r="A17" s="12" t="s">
        <v>33</v>
      </c>
      <c r="C17">
        <f>COUNT(C21:C2191)</f>
        <v>18</v>
      </c>
      <c r="E17" s="43" t="s">
        <v>129</v>
      </c>
      <c r="F17" s="44">
        <f ca="1">ROUND(2*(F16-$C$7)/$C$8,0)/2+F15</f>
        <v>7097.5</v>
      </c>
    </row>
    <row r="18" spans="1:17">
      <c r="A18" s="7" t="s">
        <v>5</v>
      </c>
      <c r="C18" s="2">
        <f ca="1">+C15</f>
        <v>56928.340856224997</v>
      </c>
      <c r="D18" s="3">
        <f ca="1">+C16</f>
        <v>4.4465040892212695</v>
      </c>
      <c r="E18" s="43" t="s">
        <v>130</v>
      </c>
      <c r="F18" s="41">
        <f ca="1">ROUND(2*(F16-$C$15)/$C$16,0)/2+F15</f>
        <v>768.5</v>
      </c>
    </row>
    <row r="19" spans="1:17" ht="13.5" thickTop="1">
      <c r="E19" s="43" t="s">
        <v>131</v>
      </c>
      <c r="F19" s="45">
        <f ca="1">+$C$15+$C$16*F18-15018.5-$C$5/24</f>
        <v>45327.375082124876</v>
      </c>
    </row>
    <row r="20" spans="1:17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43</v>
      </c>
      <c r="I20" s="9" t="s">
        <v>46</v>
      </c>
      <c r="J20" s="9" t="s">
        <v>40</v>
      </c>
      <c r="K20" s="9" t="s">
        <v>38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>
      <c r="A21" s="32" t="s">
        <v>52</v>
      </c>
      <c r="B21" s="35" t="s">
        <v>122</v>
      </c>
      <c r="C21" s="33">
        <v>14784.4</v>
      </c>
      <c r="D21" s="34" t="s">
        <v>46</v>
      </c>
      <c r="E21">
        <f t="shared" ref="E21:E38" si="0">+(C21-C$7)/C$8</f>
        <v>-3149.0007684752863</v>
      </c>
      <c r="F21">
        <f t="shared" ref="F21:F38" si="1">ROUND(2*E21,0)/2</f>
        <v>-3149</v>
      </c>
      <c r="G21">
        <f t="shared" ref="G21:G38" si="2">+C21-(C$7+F21*C$8)</f>
        <v>-3.4170000017184066E-3</v>
      </c>
      <c r="H21">
        <f t="shared" ref="H21:H30" si="3">+G21</f>
        <v>-3.4170000017184066E-3</v>
      </c>
      <c r="O21">
        <f t="shared" ref="O21:O38" ca="1" si="4">+C$11+C$12*F21</f>
        <v>-2.8318414196392278E-2</v>
      </c>
      <c r="Q21" s="47" t="s">
        <v>133</v>
      </c>
    </row>
    <row r="22" spans="1:17">
      <c r="A22" s="32" t="s">
        <v>52</v>
      </c>
      <c r="B22" s="35" t="s">
        <v>122</v>
      </c>
      <c r="C22" s="34">
        <v>15291.27</v>
      </c>
      <c r="D22" s="34" t="s">
        <v>46</v>
      </c>
      <c r="E22">
        <f t="shared" si="0"/>
        <v>-3035.0068942376047</v>
      </c>
      <c r="F22">
        <f t="shared" si="1"/>
        <v>-3035</v>
      </c>
      <c r="G22">
        <f t="shared" si="2"/>
        <v>-3.0655000000479049E-2</v>
      </c>
      <c r="H22">
        <f t="shared" si="3"/>
        <v>-3.0655000000479049E-2</v>
      </c>
      <c r="O22">
        <f t="shared" ca="1" si="4"/>
        <v>-2.4090242971703021E-2</v>
      </c>
      <c r="Q22" s="1">
        <f t="shared" ref="Q21:Q38" si="5">+C22-15018.5</f>
        <v>272.77000000000044</v>
      </c>
    </row>
    <row r="23" spans="1:17">
      <c r="A23" s="32" t="s">
        <v>52</v>
      </c>
      <c r="B23" s="35" t="s">
        <v>122</v>
      </c>
      <c r="C23" s="34">
        <v>16736.38</v>
      </c>
      <c r="D23" s="34" t="s">
        <v>46</v>
      </c>
      <c r="E23">
        <f t="shared" si="0"/>
        <v>-2710.0050444543949</v>
      </c>
      <c r="F23">
        <f t="shared" si="1"/>
        <v>-2710</v>
      </c>
      <c r="G23">
        <f t="shared" si="2"/>
        <v>-2.2430000000895234E-2</v>
      </c>
      <c r="H23">
        <f t="shared" si="3"/>
        <v>-2.2430000000895234E-2</v>
      </c>
      <c r="O23">
        <f t="shared" ca="1" si="4"/>
        <v>-1.2036246059211705E-2</v>
      </c>
      <c r="Q23" s="1">
        <f t="shared" si="5"/>
        <v>1717.880000000001</v>
      </c>
    </row>
    <row r="24" spans="1:17">
      <c r="A24" s="32" t="s">
        <v>63</v>
      </c>
      <c r="B24" s="35" t="s">
        <v>122</v>
      </c>
      <c r="C24" s="34">
        <v>28408.41</v>
      </c>
      <c r="D24" s="34" t="s">
        <v>46</v>
      </c>
      <c r="E24">
        <f t="shared" si="0"/>
        <v>-84.992871868834627</v>
      </c>
      <c r="F24">
        <f t="shared" si="1"/>
        <v>-85</v>
      </c>
      <c r="G24">
        <f t="shared" si="2"/>
        <v>3.1694999997853301E-2</v>
      </c>
      <c r="H24">
        <f t="shared" si="3"/>
        <v>3.1694999997853301E-2</v>
      </c>
      <c r="O24">
        <f t="shared" ca="1" si="4"/>
        <v>8.5322959772448873E-2</v>
      </c>
      <c r="Q24" s="1">
        <f t="shared" si="5"/>
        <v>13389.91</v>
      </c>
    </row>
    <row r="25" spans="1:17">
      <c r="A25" s="32" t="s">
        <v>63</v>
      </c>
      <c r="B25" s="35" t="s">
        <v>122</v>
      </c>
      <c r="C25" s="34">
        <v>28759.48</v>
      </c>
      <c r="D25" s="34" t="s">
        <v>46</v>
      </c>
      <c r="E25">
        <f t="shared" si="0"/>
        <v>-6.0380522333802933</v>
      </c>
      <c r="F25">
        <f t="shared" si="1"/>
        <v>-6</v>
      </c>
      <c r="G25">
        <f t="shared" si="2"/>
        <v>-0.16919800000323448</v>
      </c>
      <c r="H25">
        <f t="shared" si="3"/>
        <v>-0.16919800000323448</v>
      </c>
      <c r="O25">
        <f t="shared" ca="1" si="4"/>
        <v>8.8253008252715995E-2</v>
      </c>
      <c r="Q25" s="1">
        <f t="shared" si="5"/>
        <v>13740.98</v>
      </c>
    </row>
    <row r="26" spans="1:17">
      <c r="A26" t="s">
        <v>12</v>
      </c>
      <c r="C26" s="13">
        <v>28786.328000000001</v>
      </c>
      <c r="D26" s="13" t="s">
        <v>14</v>
      </c>
      <c r="E26">
        <f t="shared" si="0"/>
        <v>0</v>
      </c>
      <c r="F26">
        <f t="shared" si="1"/>
        <v>0</v>
      </c>
      <c r="G26">
        <f t="shared" si="2"/>
        <v>0</v>
      </c>
      <c r="H26">
        <f t="shared" si="3"/>
        <v>0</v>
      </c>
      <c r="O26">
        <f t="shared" ca="1" si="4"/>
        <v>8.8475543580331217E-2</v>
      </c>
      <c r="Q26" s="1">
        <f t="shared" si="5"/>
        <v>13767.828000000001</v>
      </c>
    </row>
    <row r="27" spans="1:17">
      <c r="A27" s="32" t="s">
        <v>63</v>
      </c>
      <c r="B27" s="35" t="s">
        <v>123</v>
      </c>
      <c r="C27" s="34">
        <v>28789.34</v>
      </c>
      <c r="D27" s="34" t="s">
        <v>46</v>
      </c>
      <c r="E27">
        <f t="shared" si="0"/>
        <v>0.67739173595549151</v>
      </c>
      <c r="F27">
        <f t="shared" si="1"/>
        <v>0.5</v>
      </c>
      <c r="G27">
        <f t="shared" si="2"/>
        <v>0.78876649999801884</v>
      </c>
      <c r="H27">
        <f t="shared" si="3"/>
        <v>0.78876649999801884</v>
      </c>
      <c r="O27">
        <f t="shared" ca="1" si="4"/>
        <v>8.8494088190965825E-2</v>
      </c>
      <c r="Q27" s="1">
        <f t="shared" si="5"/>
        <v>13770.84</v>
      </c>
    </row>
    <row r="28" spans="1:17">
      <c r="A28" s="32" t="s">
        <v>52</v>
      </c>
      <c r="B28" s="35" t="s">
        <v>122</v>
      </c>
      <c r="C28" s="34">
        <v>29582.26</v>
      </c>
      <c r="D28" s="34" t="s">
        <v>46</v>
      </c>
      <c r="E28">
        <f t="shared" si="0"/>
        <v>179.0032401005106</v>
      </c>
      <c r="F28">
        <f t="shared" si="1"/>
        <v>179</v>
      </c>
      <c r="G28">
        <f t="shared" si="2"/>
        <v>1.4406999998755055E-2</v>
      </c>
      <c r="H28">
        <f t="shared" si="3"/>
        <v>1.4406999998755055E-2</v>
      </c>
      <c r="O28">
        <f t="shared" ca="1" si="4"/>
        <v>9.5114514187518734E-2</v>
      </c>
      <c r="Q28" s="1">
        <f t="shared" si="5"/>
        <v>14563.759999999998</v>
      </c>
    </row>
    <row r="29" spans="1:17">
      <c r="A29" s="32" t="s">
        <v>52</v>
      </c>
      <c r="B29" s="35" t="s">
        <v>122</v>
      </c>
      <c r="C29" s="34">
        <v>32850.36</v>
      </c>
      <c r="D29" s="34" t="s">
        <v>46</v>
      </c>
      <c r="E29">
        <f t="shared" si="0"/>
        <v>913.99126542488659</v>
      </c>
      <c r="F29">
        <f t="shared" si="1"/>
        <v>914</v>
      </c>
      <c r="G29">
        <f t="shared" si="2"/>
        <v>-3.8838000000396278E-2</v>
      </c>
      <c r="H29">
        <f t="shared" si="3"/>
        <v>-3.8838000000396278E-2</v>
      </c>
      <c r="O29">
        <f t="shared" ca="1" si="4"/>
        <v>0.1223750918203837</v>
      </c>
      <c r="Q29" s="1">
        <f t="shared" si="5"/>
        <v>17831.86</v>
      </c>
    </row>
    <row r="30" spans="1:17">
      <c r="A30" s="32" t="s">
        <v>52</v>
      </c>
      <c r="B30" s="35" t="s">
        <v>122</v>
      </c>
      <c r="C30" s="34">
        <v>33895.35</v>
      </c>
      <c r="D30" s="34" t="s">
        <v>46</v>
      </c>
      <c r="E30">
        <f t="shared" si="0"/>
        <v>1149.007065609617</v>
      </c>
      <c r="F30">
        <f t="shared" si="1"/>
        <v>1149</v>
      </c>
      <c r="G30">
        <f t="shared" si="2"/>
        <v>3.141699999832781E-2</v>
      </c>
      <c r="H30">
        <f t="shared" si="3"/>
        <v>3.141699999832781E-2</v>
      </c>
      <c r="O30">
        <f t="shared" ca="1" si="4"/>
        <v>0.13109105881864666</v>
      </c>
      <c r="Q30" s="1">
        <f t="shared" si="5"/>
        <v>18876.849999999999</v>
      </c>
    </row>
    <row r="31" spans="1:17">
      <c r="A31" s="32" t="s">
        <v>83</v>
      </c>
      <c r="B31" s="35" t="s">
        <v>122</v>
      </c>
      <c r="C31" s="34">
        <v>47030.406999999999</v>
      </c>
      <c r="D31" s="34" t="s">
        <v>46</v>
      </c>
      <c r="E31">
        <f t="shared" si="0"/>
        <v>4103.0505792576441</v>
      </c>
      <c r="F31">
        <f t="shared" si="1"/>
        <v>4103</v>
      </c>
      <c r="G31">
        <f t="shared" si="2"/>
        <v>0.22489900000073249</v>
      </c>
      <c r="I31">
        <f>+G31</f>
        <v>0.22489900000073249</v>
      </c>
      <c r="O31">
        <f t="shared" ca="1" si="4"/>
        <v>0.24065261844787536</v>
      </c>
      <c r="Q31" s="1">
        <f t="shared" si="5"/>
        <v>32011.906999999999</v>
      </c>
    </row>
    <row r="32" spans="1:17">
      <c r="A32" s="32" t="s">
        <v>83</v>
      </c>
      <c r="B32" s="35" t="s">
        <v>122</v>
      </c>
      <c r="C32" s="34">
        <v>47030.415000000001</v>
      </c>
      <c r="D32" s="34" t="s">
        <v>46</v>
      </c>
      <c r="E32">
        <f t="shared" si="0"/>
        <v>4103.0523784388815</v>
      </c>
      <c r="F32">
        <f t="shared" si="1"/>
        <v>4103</v>
      </c>
      <c r="G32">
        <f t="shared" si="2"/>
        <v>0.2328990000023623</v>
      </c>
      <c r="I32">
        <f>+G32</f>
        <v>0.2328990000023623</v>
      </c>
      <c r="O32">
        <f t="shared" ca="1" si="4"/>
        <v>0.24065261844787536</v>
      </c>
      <c r="Q32" s="1">
        <f t="shared" si="5"/>
        <v>32011.915000000001</v>
      </c>
    </row>
    <row r="33" spans="1:30">
      <c r="A33" t="s">
        <v>30</v>
      </c>
      <c r="C33" s="14">
        <v>47777.425999999999</v>
      </c>
      <c r="D33" s="13"/>
      <c r="E33">
        <f t="shared" si="0"/>
        <v>4271.0534003738239</v>
      </c>
      <c r="F33">
        <f t="shared" si="1"/>
        <v>4271</v>
      </c>
      <c r="G33">
        <f t="shared" si="2"/>
        <v>0.23744299999816576</v>
      </c>
      <c r="I33">
        <f>+G33</f>
        <v>0.23744299999816576</v>
      </c>
      <c r="O33">
        <f t="shared" ca="1" si="4"/>
        <v>0.24688360762110165</v>
      </c>
      <c r="Q33" s="1">
        <f t="shared" si="5"/>
        <v>32758.925999999999</v>
      </c>
      <c r="AA33">
        <v>7</v>
      </c>
      <c r="AB33" t="s">
        <v>29</v>
      </c>
      <c r="AD33" t="s">
        <v>31</v>
      </c>
    </row>
    <row r="34" spans="1:30">
      <c r="A34" t="s">
        <v>32</v>
      </c>
      <c r="C34" s="13">
        <v>51343.505400000002</v>
      </c>
      <c r="D34" s="13">
        <v>1.4E-3</v>
      </c>
      <c r="E34">
        <f t="shared" si="0"/>
        <v>5073.0562939070505</v>
      </c>
      <c r="F34">
        <f t="shared" si="1"/>
        <v>5073</v>
      </c>
      <c r="G34">
        <f t="shared" si="2"/>
        <v>0.25030900000274414</v>
      </c>
      <c r="J34">
        <f>+G34</f>
        <v>0.25030900000274414</v>
      </c>
      <c r="O34">
        <f t="shared" ca="1" si="4"/>
        <v>0.27662916307900332</v>
      </c>
      <c r="Q34" s="1">
        <f t="shared" si="5"/>
        <v>36325.005400000002</v>
      </c>
      <c r="R34" t="s">
        <v>40</v>
      </c>
    </row>
    <row r="35" spans="1:30">
      <c r="A35" s="32" t="s">
        <v>106</v>
      </c>
      <c r="B35" s="35" t="s">
        <v>122</v>
      </c>
      <c r="C35" s="34">
        <v>54282.678500000002</v>
      </c>
      <c r="D35" s="34" t="s">
        <v>46</v>
      </c>
      <c r="E35">
        <f t="shared" si="0"/>
        <v>5734.0694308537541</v>
      </c>
      <c r="F35">
        <f t="shared" si="1"/>
        <v>5734</v>
      </c>
      <c r="G35">
        <f t="shared" si="2"/>
        <v>0.3087219999943045</v>
      </c>
      <c r="I35">
        <f>+G35</f>
        <v>0.3087219999943045</v>
      </c>
      <c r="O35">
        <f t="shared" ca="1" si="4"/>
        <v>0.30114513833794715</v>
      </c>
      <c r="Q35" s="1">
        <f t="shared" si="5"/>
        <v>39264.178500000002</v>
      </c>
    </row>
    <row r="36" spans="1:30">
      <c r="A36" s="32" t="s">
        <v>112</v>
      </c>
      <c r="B36" s="35" t="s">
        <v>122</v>
      </c>
      <c r="C36" s="34">
        <v>54389.394699999997</v>
      </c>
      <c r="D36" s="34" t="s">
        <v>46</v>
      </c>
      <c r="E36">
        <f t="shared" si="0"/>
        <v>5758.0696539522269</v>
      </c>
      <c r="F36">
        <f t="shared" si="1"/>
        <v>5758</v>
      </c>
      <c r="G36">
        <f t="shared" si="2"/>
        <v>0.30971399999543792</v>
      </c>
      <c r="I36">
        <f>+G36</f>
        <v>0.30971399999543792</v>
      </c>
      <c r="O36">
        <f t="shared" ca="1" si="4"/>
        <v>0.30203527964840804</v>
      </c>
      <c r="Q36" s="1">
        <f t="shared" si="5"/>
        <v>39370.894699999997</v>
      </c>
    </row>
    <row r="37" spans="1:30">
      <c r="A37" s="32" t="s">
        <v>106</v>
      </c>
      <c r="B37" s="35" t="s">
        <v>122</v>
      </c>
      <c r="C37" s="34">
        <v>54798.474099999999</v>
      </c>
      <c r="D37" s="34" t="s">
        <v>46</v>
      </c>
      <c r="E37">
        <f t="shared" si="0"/>
        <v>5850.0706515982229</v>
      </c>
      <c r="F37">
        <f t="shared" si="1"/>
        <v>5850</v>
      </c>
      <c r="G37">
        <f t="shared" si="2"/>
        <v>0.31414999999833526</v>
      </c>
      <c r="I37">
        <f>+G37</f>
        <v>0.31414999999833526</v>
      </c>
      <c r="O37">
        <f t="shared" ca="1" si="4"/>
        <v>0.30544748800517485</v>
      </c>
      <c r="Q37" s="1">
        <f t="shared" si="5"/>
        <v>39779.974099999999</v>
      </c>
    </row>
    <row r="38" spans="1:30">
      <c r="A38" s="16" t="s">
        <v>35</v>
      </c>
      <c r="B38" s="17"/>
      <c r="C38" s="16">
        <v>56928.409099999997</v>
      </c>
      <c r="D38" s="16">
        <v>3.2000000000000002E-3</v>
      </c>
      <c r="E38">
        <f t="shared" si="0"/>
        <v>6329.0880377612148</v>
      </c>
      <c r="F38">
        <f t="shared" si="1"/>
        <v>6329</v>
      </c>
      <c r="G38">
        <f t="shared" si="2"/>
        <v>0.3914569999978994</v>
      </c>
      <c r="J38">
        <f>+G38</f>
        <v>0.3914569999978994</v>
      </c>
      <c r="O38">
        <f t="shared" ca="1" si="4"/>
        <v>0.32321322499312355</v>
      </c>
      <c r="Q38" s="1">
        <f t="shared" si="5"/>
        <v>41909.909099999997</v>
      </c>
      <c r="R38" t="s">
        <v>40</v>
      </c>
    </row>
    <row r="39" spans="1:30">
      <c r="B39" s="5"/>
      <c r="C39" s="13"/>
      <c r="D39" s="13"/>
    </row>
    <row r="40" spans="1:30">
      <c r="C40" s="13"/>
      <c r="D40" s="13"/>
    </row>
    <row r="41" spans="1:30">
      <c r="C41" s="13"/>
      <c r="D41" s="13"/>
    </row>
    <row r="42" spans="1:30">
      <c r="C42" s="13"/>
      <c r="D42" s="13"/>
    </row>
    <row r="43" spans="1:30">
      <c r="C43" s="13"/>
      <c r="D43" s="13"/>
    </row>
    <row r="44" spans="1:30">
      <c r="C44" s="13"/>
      <c r="D44" s="13"/>
    </row>
    <row r="45" spans="1:30">
      <c r="C45" s="13"/>
      <c r="D45" s="13"/>
    </row>
    <row r="46" spans="1:30">
      <c r="C46" s="13"/>
      <c r="D46" s="13"/>
    </row>
    <row r="47" spans="1:30">
      <c r="C47" s="13"/>
      <c r="D47" s="13"/>
    </row>
    <row r="48" spans="1:30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topLeftCell="A5" workbookViewId="0">
      <selection activeCell="A14" sqref="A14:D27"/>
    </sheetView>
  </sheetViews>
  <sheetFormatPr defaultRowHeight="12.75"/>
  <cols>
    <col min="1" max="1" width="19.7109375" style="13" customWidth="1"/>
    <col min="2" max="2" width="4.42578125" style="19" customWidth="1"/>
    <col min="3" max="3" width="12.7109375" style="13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3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18" t="s">
        <v>36</v>
      </c>
      <c r="I1" s="20" t="s">
        <v>37</v>
      </c>
      <c r="J1" s="21" t="s">
        <v>38</v>
      </c>
    </row>
    <row r="2" spans="1:16">
      <c r="I2" s="22" t="s">
        <v>39</v>
      </c>
      <c r="J2" s="23" t="s">
        <v>40</v>
      </c>
    </row>
    <row r="3" spans="1:16">
      <c r="A3" s="24" t="s">
        <v>41</v>
      </c>
      <c r="I3" s="22" t="s">
        <v>42</v>
      </c>
      <c r="J3" s="23" t="s">
        <v>43</v>
      </c>
    </row>
    <row r="4" spans="1:16">
      <c r="I4" s="22" t="s">
        <v>44</v>
      </c>
      <c r="J4" s="23" t="s">
        <v>43</v>
      </c>
    </row>
    <row r="5" spans="1:16" ht="13.5" thickBot="1">
      <c r="I5" s="25" t="s">
        <v>45</v>
      </c>
      <c r="J5" s="26" t="s">
        <v>46</v>
      </c>
    </row>
    <row r="10" spans="1:16" ht="13.5" thickBot="1"/>
    <row r="11" spans="1:16" ht="12.75" customHeight="1" thickBot="1">
      <c r="A11" s="13" t="str">
        <f t="shared" ref="A11:A27" si="0">P11</f>
        <v> BBS 92 </v>
      </c>
      <c r="B11" s="5" t="str">
        <f t="shared" ref="B11:B27" si="1">IF(H11=INT(H11),"I","II")</f>
        <v>I</v>
      </c>
      <c r="C11" s="13">
        <f t="shared" ref="C11:C27" si="2">1*G11</f>
        <v>47777.425999999999</v>
      </c>
      <c r="D11" s="19" t="str">
        <f t="shared" ref="D11:D27" si="3">VLOOKUP(F11,I$1:J$5,2,FALSE)</f>
        <v>vis</v>
      </c>
      <c r="E11" s="27">
        <f>VLOOKUP(C11,Active!C$21:E$973,3,FALSE)</f>
        <v>4271.0534003738239</v>
      </c>
      <c r="F11" s="5" t="s">
        <v>45</v>
      </c>
      <c r="G11" s="19" t="str">
        <f t="shared" ref="G11:G27" si="4">MID(I11,3,LEN(I11)-3)</f>
        <v>47777.426</v>
      </c>
      <c r="H11" s="13">
        <f t="shared" ref="H11:H27" si="5">1*K11</f>
        <v>4271</v>
      </c>
      <c r="I11" s="28" t="s">
        <v>88</v>
      </c>
      <c r="J11" s="29" t="s">
        <v>89</v>
      </c>
      <c r="K11" s="28">
        <v>4271</v>
      </c>
      <c r="L11" s="28" t="s">
        <v>90</v>
      </c>
      <c r="M11" s="29" t="s">
        <v>81</v>
      </c>
      <c r="N11" s="29"/>
      <c r="O11" s="30" t="s">
        <v>91</v>
      </c>
      <c r="P11" s="30" t="s">
        <v>92</v>
      </c>
    </row>
    <row r="12" spans="1:16" ht="12.75" customHeight="1" thickBot="1">
      <c r="A12" s="13" t="str">
        <f t="shared" si="0"/>
        <v>BAVM 132 </v>
      </c>
      <c r="B12" s="5" t="str">
        <f t="shared" si="1"/>
        <v>I</v>
      </c>
      <c r="C12" s="13">
        <f t="shared" si="2"/>
        <v>51343.505400000002</v>
      </c>
      <c r="D12" s="19" t="str">
        <f t="shared" si="3"/>
        <v>vis</v>
      </c>
      <c r="E12" s="27">
        <f>VLOOKUP(C12,Active!C$21:E$973,3,FALSE)</f>
        <v>5073.0562939070505</v>
      </c>
      <c r="F12" s="5" t="s">
        <v>45</v>
      </c>
      <c r="G12" s="19" t="str">
        <f t="shared" si="4"/>
        <v>51343.5054</v>
      </c>
      <c r="H12" s="13">
        <f t="shared" si="5"/>
        <v>5073</v>
      </c>
      <c r="I12" s="28" t="s">
        <v>93</v>
      </c>
      <c r="J12" s="29" t="s">
        <v>94</v>
      </c>
      <c r="K12" s="28">
        <v>5073</v>
      </c>
      <c r="L12" s="28" t="s">
        <v>95</v>
      </c>
      <c r="M12" s="29" t="s">
        <v>96</v>
      </c>
      <c r="N12" s="29" t="s">
        <v>97</v>
      </c>
      <c r="O12" s="30" t="s">
        <v>98</v>
      </c>
      <c r="P12" s="31" t="s">
        <v>99</v>
      </c>
    </row>
    <row r="13" spans="1:16" ht="12.75" customHeight="1" thickBot="1">
      <c r="A13" s="13" t="str">
        <f t="shared" si="0"/>
        <v>BAVM 239 </v>
      </c>
      <c r="B13" s="5" t="str">
        <f t="shared" si="1"/>
        <v>I</v>
      </c>
      <c r="C13" s="13">
        <f t="shared" si="2"/>
        <v>56928.409099999997</v>
      </c>
      <c r="D13" s="19" t="str">
        <f t="shared" si="3"/>
        <v>vis</v>
      </c>
      <c r="E13" s="27">
        <f>VLOOKUP(C13,Active!C$21:E$973,3,FALSE)</f>
        <v>6329.0880377612148</v>
      </c>
      <c r="F13" s="5" t="s">
        <v>45</v>
      </c>
      <c r="G13" s="19" t="str">
        <f t="shared" si="4"/>
        <v>56928.4091</v>
      </c>
      <c r="H13" s="13">
        <f t="shared" si="5"/>
        <v>6329</v>
      </c>
      <c r="I13" s="28" t="s">
        <v>117</v>
      </c>
      <c r="J13" s="29" t="s">
        <v>118</v>
      </c>
      <c r="K13" s="28" t="s">
        <v>119</v>
      </c>
      <c r="L13" s="28" t="s">
        <v>120</v>
      </c>
      <c r="M13" s="29" t="s">
        <v>103</v>
      </c>
      <c r="N13" s="29" t="s">
        <v>104</v>
      </c>
      <c r="O13" s="30" t="s">
        <v>105</v>
      </c>
      <c r="P13" s="31" t="s">
        <v>121</v>
      </c>
    </row>
    <row r="14" spans="1:16" ht="12.75" customHeight="1" thickBot="1">
      <c r="A14" s="13" t="str">
        <f t="shared" si="0"/>
        <v> PZ 9.145 </v>
      </c>
      <c r="B14" s="5" t="str">
        <f t="shared" si="1"/>
        <v>I</v>
      </c>
      <c r="C14" s="13">
        <f t="shared" si="2"/>
        <v>14784.4</v>
      </c>
      <c r="D14" s="19" t="str">
        <f t="shared" si="3"/>
        <v>vis</v>
      </c>
      <c r="E14" s="27">
        <f>VLOOKUP(C14,Active!C$21:E$973,3,FALSE)</f>
        <v>-3149.0007684752863</v>
      </c>
      <c r="F14" s="5" t="s">
        <v>45</v>
      </c>
      <c r="G14" s="19" t="str">
        <f t="shared" si="4"/>
        <v>14784.40</v>
      </c>
      <c r="H14" s="13">
        <f t="shared" si="5"/>
        <v>-3149</v>
      </c>
      <c r="I14" s="28" t="s">
        <v>47</v>
      </c>
      <c r="J14" s="29" t="s">
        <v>48</v>
      </c>
      <c r="K14" s="28">
        <v>-3149</v>
      </c>
      <c r="L14" s="28" t="s">
        <v>49</v>
      </c>
      <c r="M14" s="29" t="s">
        <v>50</v>
      </c>
      <c r="N14" s="29"/>
      <c r="O14" s="30" t="s">
        <v>51</v>
      </c>
      <c r="P14" s="30" t="s">
        <v>52</v>
      </c>
    </row>
    <row r="15" spans="1:16" ht="12.75" customHeight="1" thickBot="1">
      <c r="A15" s="13" t="str">
        <f t="shared" si="0"/>
        <v> PZ 9.145 </v>
      </c>
      <c r="B15" s="5" t="str">
        <f t="shared" si="1"/>
        <v>I</v>
      </c>
      <c r="C15" s="13">
        <f t="shared" si="2"/>
        <v>15291.27</v>
      </c>
      <c r="D15" s="19" t="str">
        <f t="shared" si="3"/>
        <v>vis</v>
      </c>
      <c r="E15" s="27">
        <f>VLOOKUP(C15,Active!C$21:E$973,3,FALSE)</f>
        <v>-3035.0068942376047</v>
      </c>
      <c r="F15" s="5" t="s">
        <v>45</v>
      </c>
      <c r="G15" s="19" t="str">
        <f t="shared" si="4"/>
        <v>15291.27</v>
      </c>
      <c r="H15" s="13">
        <f t="shared" si="5"/>
        <v>-3035</v>
      </c>
      <c r="I15" s="28" t="s">
        <v>53</v>
      </c>
      <c r="J15" s="29" t="s">
        <v>54</v>
      </c>
      <c r="K15" s="28">
        <v>-3035</v>
      </c>
      <c r="L15" s="28" t="s">
        <v>55</v>
      </c>
      <c r="M15" s="29" t="s">
        <v>50</v>
      </c>
      <c r="N15" s="29"/>
      <c r="O15" s="30" t="s">
        <v>51</v>
      </c>
      <c r="P15" s="30" t="s">
        <v>52</v>
      </c>
    </row>
    <row r="16" spans="1:16" ht="12.75" customHeight="1" thickBot="1">
      <c r="A16" s="13" t="str">
        <f t="shared" si="0"/>
        <v> PZ 9.145 </v>
      </c>
      <c r="B16" s="5" t="str">
        <f t="shared" si="1"/>
        <v>I</v>
      </c>
      <c r="C16" s="13">
        <f t="shared" si="2"/>
        <v>16736.38</v>
      </c>
      <c r="D16" s="19" t="str">
        <f t="shared" si="3"/>
        <v>vis</v>
      </c>
      <c r="E16" s="27">
        <f>VLOOKUP(C16,Active!C$21:E$973,3,FALSE)</f>
        <v>-2710.0050444543949</v>
      </c>
      <c r="F16" s="5" t="s">
        <v>45</v>
      </c>
      <c r="G16" s="19" t="str">
        <f t="shared" si="4"/>
        <v>16736.38</v>
      </c>
      <c r="H16" s="13">
        <f t="shared" si="5"/>
        <v>-2710</v>
      </c>
      <c r="I16" s="28" t="s">
        <v>56</v>
      </c>
      <c r="J16" s="29" t="s">
        <v>57</v>
      </c>
      <c r="K16" s="28">
        <v>-2710</v>
      </c>
      <c r="L16" s="28" t="s">
        <v>58</v>
      </c>
      <c r="M16" s="29" t="s">
        <v>50</v>
      </c>
      <c r="N16" s="29"/>
      <c r="O16" s="30" t="s">
        <v>51</v>
      </c>
      <c r="P16" s="30" t="s">
        <v>52</v>
      </c>
    </row>
    <row r="17" spans="1:16" ht="12.75" customHeight="1" thickBot="1">
      <c r="A17" s="13" t="str">
        <f t="shared" si="0"/>
        <v> PZ 5.206 </v>
      </c>
      <c r="B17" s="5" t="str">
        <f t="shared" si="1"/>
        <v>I</v>
      </c>
      <c r="C17" s="13">
        <f t="shared" si="2"/>
        <v>28408.41</v>
      </c>
      <c r="D17" s="19" t="str">
        <f t="shared" si="3"/>
        <v>vis</v>
      </c>
      <c r="E17" s="27">
        <f>VLOOKUP(C17,Active!C$21:E$973,3,FALSE)</f>
        <v>-84.992871868834627</v>
      </c>
      <c r="F17" s="5" t="s">
        <v>45</v>
      </c>
      <c r="G17" s="19" t="str">
        <f t="shared" si="4"/>
        <v>28408.41</v>
      </c>
      <c r="H17" s="13">
        <f t="shared" si="5"/>
        <v>-85</v>
      </c>
      <c r="I17" s="28" t="s">
        <v>59</v>
      </c>
      <c r="J17" s="29" t="s">
        <v>60</v>
      </c>
      <c r="K17" s="28">
        <v>-85</v>
      </c>
      <c r="L17" s="28" t="s">
        <v>61</v>
      </c>
      <c r="M17" s="29" t="s">
        <v>50</v>
      </c>
      <c r="N17" s="29"/>
      <c r="O17" s="30" t="s">
        <v>62</v>
      </c>
      <c r="P17" s="30" t="s">
        <v>63</v>
      </c>
    </row>
    <row r="18" spans="1:16" ht="12.75" customHeight="1" thickBot="1">
      <c r="A18" s="13" t="str">
        <f t="shared" si="0"/>
        <v> PZ 5.206 </v>
      </c>
      <c r="B18" s="5" t="str">
        <f t="shared" si="1"/>
        <v>I</v>
      </c>
      <c r="C18" s="13">
        <f t="shared" si="2"/>
        <v>28759.48</v>
      </c>
      <c r="D18" s="19" t="str">
        <f t="shared" si="3"/>
        <v>vis</v>
      </c>
      <c r="E18" s="27">
        <f>VLOOKUP(C18,Active!C$21:E$973,3,FALSE)</f>
        <v>-6.0380522333802933</v>
      </c>
      <c r="F18" s="5" t="s">
        <v>45</v>
      </c>
      <c r="G18" s="19" t="str">
        <f t="shared" si="4"/>
        <v>28759.48</v>
      </c>
      <c r="H18" s="13">
        <f t="shared" si="5"/>
        <v>-6</v>
      </c>
      <c r="I18" s="28" t="s">
        <v>64</v>
      </c>
      <c r="J18" s="29" t="s">
        <v>65</v>
      </c>
      <c r="K18" s="28">
        <v>-6</v>
      </c>
      <c r="L18" s="28" t="s">
        <v>66</v>
      </c>
      <c r="M18" s="29" t="s">
        <v>50</v>
      </c>
      <c r="N18" s="29"/>
      <c r="O18" s="30" t="s">
        <v>62</v>
      </c>
      <c r="P18" s="30" t="s">
        <v>63</v>
      </c>
    </row>
    <row r="19" spans="1:16" ht="12.75" customHeight="1" thickBot="1">
      <c r="A19" s="13" t="str">
        <f t="shared" si="0"/>
        <v> PZ 5.206 </v>
      </c>
      <c r="B19" s="5" t="str">
        <f t="shared" si="1"/>
        <v>II</v>
      </c>
      <c r="C19" s="13">
        <f t="shared" si="2"/>
        <v>28789.34</v>
      </c>
      <c r="D19" s="19" t="str">
        <f t="shared" si="3"/>
        <v>vis</v>
      </c>
      <c r="E19" s="27">
        <f>VLOOKUP(C19,Active!C$21:E$973,3,FALSE)</f>
        <v>0.67739173595549151</v>
      </c>
      <c r="F19" s="5" t="s">
        <v>45</v>
      </c>
      <c r="G19" s="19" t="str">
        <f t="shared" si="4"/>
        <v>28789.34</v>
      </c>
      <c r="H19" s="13">
        <f t="shared" si="5"/>
        <v>0.5</v>
      </c>
      <c r="I19" s="28" t="s">
        <v>67</v>
      </c>
      <c r="J19" s="29" t="s">
        <v>68</v>
      </c>
      <c r="K19" s="28">
        <v>0.5</v>
      </c>
      <c r="L19" s="28" t="s">
        <v>69</v>
      </c>
      <c r="M19" s="29" t="s">
        <v>50</v>
      </c>
      <c r="N19" s="29"/>
      <c r="O19" s="30" t="s">
        <v>62</v>
      </c>
      <c r="P19" s="30" t="s">
        <v>63</v>
      </c>
    </row>
    <row r="20" spans="1:16" ht="12.75" customHeight="1" thickBot="1">
      <c r="A20" s="13" t="str">
        <f t="shared" si="0"/>
        <v> PZ 9.145 </v>
      </c>
      <c r="B20" s="5" t="str">
        <f t="shared" si="1"/>
        <v>I</v>
      </c>
      <c r="C20" s="13">
        <f t="shared" si="2"/>
        <v>29582.26</v>
      </c>
      <c r="D20" s="19" t="str">
        <f t="shared" si="3"/>
        <v>vis</v>
      </c>
      <c r="E20" s="27">
        <f>VLOOKUP(C20,Active!C$21:E$973,3,FALSE)</f>
        <v>179.0032401005106</v>
      </c>
      <c r="F20" s="5" t="s">
        <v>45</v>
      </c>
      <c r="G20" s="19" t="str">
        <f t="shared" si="4"/>
        <v>29582.26</v>
      </c>
      <c r="H20" s="13">
        <f t="shared" si="5"/>
        <v>179</v>
      </c>
      <c r="I20" s="28" t="s">
        <v>70</v>
      </c>
      <c r="J20" s="29" t="s">
        <v>71</v>
      </c>
      <c r="K20" s="28">
        <v>179</v>
      </c>
      <c r="L20" s="28" t="s">
        <v>72</v>
      </c>
      <c r="M20" s="29" t="s">
        <v>50</v>
      </c>
      <c r="N20" s="29"/>
      <c r="O20" s="30" t="s">
        <v>51</v>
      </c>
      <c r="P20" s="30" t="s">
        <v>52</v>
      </c>
    </row>
    <row r="21" spans="1:16" ht="12.75" customHeight="1" thickBot="1">
      <c r="A21" s="13" t="str">
        <f t="shared" si="0"/>
        <v> PZ 9.145 </v>
      </c>
      <c r="B21" s="5" t="str">
        <f t="shared" si="1"/>
        <v>I</v>
      </c>
      <c r="C21" s="13">
        <f t="shared" si="2"/>
        <v>32850.36</v>
      </c>
      <c r="D21" s="19" t="str">
        <f t="shared" si="3"/>
        <v>vis</v>
      </c>
      <c r="E21" s="27">
        <f>VLOOKUP(C21,Active!C$21:E$973,3,FALSE)</f>
        <v>913.99126542488659</v>
      </c>
      <c r="F21" s="5" t="s">
        <v>45</v>
      </c>
      <c r="G21" s="19" t="str">
        <f t="shared" si="4"/>
        <v>32850.36</v>
      </c>
      <c r="H21" s="13">
        <f t="shared" si="5"/>
        <v>914</v>
      </c>
      <c r="I21" s="28" t="s">
        <v>73</v>
      </c>
      <c r="J21" s="29" t="s">
        <v>74</v>
      </c>
      <c r="K21" s="28">
        <v>914</v>
      </c>
      <c r="L21" s="28" t="s">
        <v>75</v>
      </c>
      <c r="M21" s="29" t="s">
        <v>50</v>
      </c>
      <c r="N21" s="29"/>
      <c r="O21" s="30" t="s">
        <v>51</v>
      </c>
      <c r="P21" s="30" t="s">
        <v>52</v>
      </c>
    </row>
    <row r="22" spans="1:16" ht="12.75" customHeight="1" thickBot="1">
      <c r="A22" s="13" t="str">
        <f t="shared" si="0"/>
        <v> PZ 9.145 </v>
      </c>
      <c r="B22" s="5" t="str">
        <f t="shared" si="1"/>
        <v>I</v>
      </c>
      <c r="C22" s="13">
        <f t="shared" si="2"/>
        <v>33895.35</v>
      </c>
      <c r="D22" s="19" t="str">
        <f t="shared" si="3"/>
        <v>vis</v>
      </c>
      <c r="E22" s="27">
        <f>VLOOKUP(C22,Active!C$21:E$973,3,FALSE)</f>
        <v>1149.007065609617</v>
      </c>
      <c r="F22" s="5" t="s">
        <v>45</v>
      </c>
      <c r="G22" s="19" t="str">
        <f t="shared" si="4"/>
        <v>33895.35</v>
      </c>
      <c r="H22" s="13">
        <f t="shared" si="5"/>
        <v>1149</v>
      </c>
      <c r="I22" s="28" t="s">
        <v>76</v>
      </c>
      <c r="J22" s="29" t="s">
        <v>77</v>
      </c>
      <c r="K22" s="28">
        <v>1149</v>
      </c>
      <c r="L22" s="28" t="s">
        <v>61</v>
      </c>
      <c r="M22" s="29" t="s">
        <v>50</v>
      </c>
      <c r="N22" s="29"/>
      <c r="O22" s="30" t="s">
        <v>51</v>
      </c>
      <c r="P22" s="30" t="s">
        <v>52</v>
      </c>
    </row>
    <row r="23" spans="1:16" ht="12.75" customHeight="1" thickBot="1">
      <c r="A23" s="13" t="str">
        <f t="shared" si="0"/>
        <v> BRNO 30 </v>
      </c>
      <c r="B23" s="5" t="str">
        <f t="shared" si="1"/>
        <v>I</v>
      </c>
      <c r="C23" s="13">
        <f t="shared" si="2"/>
        <v>47030.406999999999</v>
      </c>
      <c r="D23" s="19" t="str">
        <f t="shared" si="3"/>
        <v>vis</v>
      </c>
      <c r="E23" s="27">
        <f>VLOOKUP(C23,Active!C$21:E$973,3,FALSE)</f>
        <v>4103.0505792576441</v>
      </c>
      <c r="F23" s="5" t="s">
        <v>45</v>
      </c>
      <c r="G23" s="19" t="str">
        <f t="shared" si="4"/>
        <v>47030.407</v>
      </c>
      <c r="H23" s="13">
        <f t="shared" si="5"/>
        <v>4103</v>
      </c>
      <c r="I23" s="28" t="s">
        <v>78</v>
      </c>
      <c r="J23" s="29" t="s">
        <v>79</v>
      </c>
      <c r="K23" s="28">
        <v>4103</v>
      </c>
      <c r="L23" s="28" t="s">
        <v>80</v>
      </c>
      <c r="M23" s="29" t="s">
        <v>81</v>
      </c>
      <c r="N23" s="29"/>
      <c r="O23" s="30" t="s">
        <v>82</v>
      </c>
      <c r="P23" s="30" t="s">
        <v>83</v>
      </c>
    </row>
    <row r="24" spans="1:16" ht="12.75" customHeight="1" thickBot="1">
      <c r="A24" s="13" t="str">
        <f t="shared" si="0"/>
        <v> BRNO 30 </v>
      </c>
      <c r="B24" s="5" t="str">
        <f t="shared" si="1"/>
        <v>I</v>
      </c>
      <c r="C24" s="13">
        <f t="shared" si="2"/>
        <v>47030.415000000001</v>
      </c>
      <c r="D24" s="19" t="str">
        <f t="shared" si="3"/>
        <v>vis</v>
      </c>
      <c r="E24" s="27">
        <f>VLOOKUP(C24,Active!C$21:E$973,3,FALSE)</f>
        <v>4103.0523784388815</v>
      </c>
      <c r="F24" s="5" t="s">
        <v>45</v>
      </c>
      <c r="G24" s="19" t="str">
        <f t="shared" si="4"/>
        <v>47030.415</v>
      </c>
      <c r="H24" s="13">
        <f t="shared" si="5"/>
        <v>4103</v>
      </c>
      <c r="I24" s="28" t="s">
        <v>84</v>
      </c>
      <c r="J24" s="29" t="s">
        <v>85</v>
      </c>
      <c r="K24" s="28">
        <v>4103</v>
      </c>
      <c r="L24" s="28" t="s">
        <v>86</v>
      </c>
      <c r="M24" s="29" t="s">
        <v>81</v>
      </c>
      <c r="N24" s="29"/>
      <c r="O24" s="30" t="s">
        <v>87</v>
      </c>
      <c r="P24" s="30" t="s">
        <v>83</v>
      </c>
    </row>
    <row r="25" spans="1:16" ht="12.75" customHeight="1" thickBot="1">
      <c r="A25" s="13" t="str">
        <f t="shared" si="0"/>
        <v>BAVM 203 </v>
      </c>
      <c r="B25" s="5" t="str">
        <f t="shared" si="1"/>
        <v>I</v>
      </c>
      <c r="C25" s="13">
        <f t="shared" si="2"/>
        <v>54282.678500000002</v>
      </c>
      <c r="D25" s="19" t="str">
        <f t="shared" si="3"/>
        <v>vis</v>
      </c>
      <c r="E25" s="27">
        <f>VLOOKUP(C25,Active!C$21:E$973,3,FALSE)</f>
        <v>5734.0694308537541</v>
      </c>
      <c r="F25" s="5" t="s">
        <v>45</v>
      </c>
      <c r="G25" s="19" t="str">
        <f t="shared" si="4"/>
        <v>54282.6785</v>
      </c>
      <c r="H25" s="13">
        <f t="shared" si="5"/>
        <v>5734</v>
      </c>
      <c r="I25" s="28" t="s">
        <v>100</v>
      </c>
      <c r="J25" s="29" t="s">
        <v>101</v>
      </c>
      <c r="K25" s="28">
        <v>5734</v>
      </c>
      <c r="L25" s="28" t="s">
        <v>102</v>
      </c>
      <c r="M25" s="29" t="s">
        <v>103</v>
      </c>
      <c r="N25" s="29" t="s">
        <v>104</v>
      </c>
      <c r="O25" s="30" t="s">
        <v>105</v>
      </c>
      <c r="P25" s="31" t="s">
        <v>106</v>
      </c>
    </row>
    <row r="26" spans="1:16" ht="12.75" customHeight="1" thickBot="1">
      <c r="A26" s="13" t="str">
        <f t="shared" si="0"/>
        <v>BAVM 193 </v>
      </c>
      <c r="B26" s="5" t="str">
        <f t="shared" si="1"/>
        <v>I</v>
      </c>
      <c r="C26" s="13">
        <f t="shared" si="2"/>
        <v>54389.394699999997</v>
      </c>
      <c r="D26" s="19" t="str">
        <f t="shared" si="3"/>
        <v>vis</v>
      </c>
      <c r="E26" s="27">
        <f>VLOOKUP(C26,Active!C$21:E$973,3,FALSE)</f>
        <v>5758.0696539522269</v>
      </c>
      <c r="F26" s="5" t="s">
        <v>45</v>
      </c>
      <c r="G26" s="19" t="str">
        <f t="shared" si="4"/>
        <v>54389.3947</v>
      </c>
      <c r="H26" s="13">
        <f t="shared" si="5"/>
        <v>5758</v>
      </c>
      <c r="I26" s="28" t="s">
        <v>107</v>
      </c>
      <c r="J26" s="29" t="s">
        <v>108</v>
      </c>
      <c r="K26" s="28" t="s">
        <v>109</v>
      </c>
      <c r="L26" s="28" t="s">
        <v>110</v>
      </c>
      <c r="M26" s="29" t="s">
        <v>103</v>
      </c>
      <c r="N26" s="29" t="s">
        <v>97</v>
      </c>
      <c r="O26" s="30" t="s">
        <v>111</v>
      </c>
      <c r="P26" s="31" t="s">
        <v>112</v>
      </c>
    </row>
    <row r="27" spans="1:16" ht="12.75" customHeight="1" thickBot="1">
      <c r="A27" s="13" t="str">
        <f t="shared" si="0"/>
        <v>BAVM 203 </v>
      </c>
      <c r="B27" s="5" t="str">
        <f t="shared" si="1"/>
        <v>I</v>
      </c>
      <c r="C27" s="13">
        <f t="shared" si="2"/>
        <v>54798.474099999999</v>
      </c>
      <c r="D27" s="19" t="str">
        <f t="shared" si="3"/>
        <v>vis</v>
      </c>
      <c r="E27" s="27">
        <f>VLOOKUP(C27,Active!C$21:E$973,3,FALSE)</f>
        <v>5850.0706515982229</v>
      </c>
      <c r="F27" s="5" t="s">
        <v>45</v>
      </c>
      <c r="G27" s="19" t="str">
        <f t="shared" si="4"/>
        <v>54798.4741</v>
      </c>
      <c r="H27" s="13">
        <f t="shared" si="5"/>
        <v>5850</v>
      </c>
      <c r="I27" s="28" t="s">
        <v>113</v>
      </c>
      <c r="J27" s="29" t="s">
        <v>114</v>
      </c>
      <c r="K27" s="28" t="s">
        <v>115</v>
      </c>
      <c r="L27" s="28" t="s">
        <v>116</v>
      </c>
      <c r="M27" s="29" t="s">
        <v>103</v>
      </c>
      <c r="N27" s="29" t="s">
        <v>104</v>
      </c>
      <c r="O27" s="30" t="s">
        <v>105</v>
      </c>
      <c r="P27" s="31" t="s">
        <v>106</v>
      </c>
    </row>
    <row r="28" spans="1:16">
      <c r="B28" s="5"/>
      <c r="E28" s="27"/>
      <c r="F28" s="5"/>
    </row>
    <row r="29" spans="1:16">
      <c r="B29" s="5"/>
      <c r="E29" s="27"/>
      <c r="F29" s="5"/>
    </row>
    <row r="30" spans="1:16">
      <c r="B30" s="5"/>
      <c r="E30" s="27"/>
      <c r="F30" s="5"/>
    </row>
    <row r="31" spans="1:16">
      <c r="B31" s="5"/>
      <c r="E31" s="27"/>
      <c r="F31" s="5"/>
    </row>
    <row r="32" spans="1:16">
      <c r="B32" s="5"/>
      <c r="E32" s="27"/>
      <c r="F32" s="5"/>
    </row>
    <row r="33" spans="2:6">
      <c r="B33" s="5"/>
      <c r="E33" s="27"/>
      <c r="F33" s="5"/>
    </row>
    <row r="34" spans="2:6">
      <c r="B34" s="5"/>
      <c r="E34" s="27"/>
      <c r="F34" s="5"/>
    </row>
    <row r="35" spans="2:6">
      <c r="B35" s="5"/>
      <c r="E35" s="27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</sheetData>
  <phoneticPr fontId="6" type="noConversion"/>
  <hyperlinks>
    <hyperlink ref="P12" r:id="rId1" display="http://www.bav-astro.de/sfs/BAVM_link.php?BAVMnr=132"/>
    <hyperlink ref="P25" r:id="rId2" display="http://www.bav-astro.de/sfs/BAVM_link.php?BAVMnr=203"/>
    <hyperlink ref="P26" r:id="rId3" display="http://www.bav-astro.de/sfs/BAVM_link.php?BAVMnr=193"/>
    <hyperlink ref="P27" r:id="rId4" display="http://www.bav-astro.de/sfs/BAVM_link.php?BAVMnr=203"/>
    <hyperlink ref="P13" r:id="rId5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2024-01-31T04:27:31Z</dcterms:modified>
</cp:coreProperties>
</file>