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32DC17-534C-492D-BB7E-DCFE436EFF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61" i="1"/>
  <c r="F61" i="1"/>
  <c r="G61" i="1"/>
  <c r="K61" i="1"/>
  <c r="D9" i="1"/>
  <c r="C9" i="1"/>
  <c r="E25" i="1"/>
  <c r="F25" i="1"/>
  <c r="G25" i="1"/>
  <c r="I25" i="1"/>
  <c r="E26" i="1"/>
  <c r="F26" i="1"/>
  <c r="G26" i="1"/>
  <c r="I26" i="1"/>
  <c r="E27" i="1"/>
  <c r="F27" i="1"/>
  <c r="G27" i="1"/>
  <c r="I27" i="1"/>
  <c r="E64" i="1"/>
  <c r="F64" i="1"/>
  <c r="G64" i="1"/>
  <c r="I64" i="1"/>
  <c r="E65" i="1"/>
  <c r="F65" i="1"/>
  <c r="G65" i="1"/>
  <c r="I65" i="1"/>
  <c r="E66" i="1"/>
  <c r="F66" i="1"/>
  <c r="G66" i="1"/>
  <c r="I66" i="1"/>
  <c r="E30" i="1"/>
  <c r="F30" i="1"/>
  <c r="G30" i="1"/>
  <c r="K30" i="1"/>
  <c r="E21" i="1"/>
  <c r="F21" i="1"/>
  <c r="G21" i="1"/>
  <c r="E28" i="1"/>
  <c r="F28" i="1"/>
  <c r="G28" i="1"/>
  <c r="K28" i="1"/>
  <c r="E29" i="1"/>
  <c r="F29" i="1"/>
  <c r="G29" i="1"/>
  <c r="K29" i="1"/>
  <c r="E31" i="1"/>
  <c r="F31" i="1"/>
  <c r="G31" i="1"/>
  <c r="K31" i="1"/>
  <c r="E32" i="1"/>
  <c r="F32" i="1"/>
  <c r="G32" i="1"/>
  <c r="K32" i="1"/>
  <c r="E33" i="1"/>
  <c r="F33" i="1"/>
  <c r="G33" i="1"/>
  <c r="E34" i="1"/>
  <c r="F34" i="1"/>
  <c r="G34" i="1"/>
  <c r="K34" i="1"/>
  <c r="E35" i="1"/>
  <c r="F35" i="1"/>
  <c r="G35" i="1"/>
  <c r="K35" i="1"/>
  <c r="E36" i="1"/>
  <c r="F36" i="1"/>
  <c r="G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E42" i="1"/>
  <c r="F42" i="1"/>
  <c r="G42" i="1"/>
  <c r="K42" i="1"/>
  <c r="E44" i="1"/>
  <c r="F44" i="1"/>
  <c r="G44" i="1"/>
  <c r="K44" i="1"/>
  <c r="E45" i="1"/>
  <c r="F45" i="1"/>
  <c r="G45" i="1"/>
  <c r="E46" i="1"/>
  <c r="F46" i="1"/>
  <c r="G46" i="1"/>
  <c r="K46" i="1"/>
  <c r="E47" i="1"/>
  <c r="F47" i="1"/>
  <c r="G47" i="1"/>
  <c r="K47" i="1"/>
  <c r="E48" i="1"/>
  <c r="F48" i="1"/>
  <c r="G48" i="1"/>
  <c r="K48" i="1"/>
  <c r="E51" i="1"/>
  <c r="F51" i="1"/>
  <c r="G51" i="1"/>
  <c r="K51" i="1"/>
  <c r="E52" i="1"/>
  <c r="F52" i="1"/>
  <c r="G52" i="1"/>
  <c r="E53" i="1"/>
  <c r="F53" i="1"/>
  <c r="G53" i="1"/>
  <c r="K53" i="1"/>
  <c r="E58" i="1"/>
  <c r="F58" i="1"/>
  <c r="G58" i="1"/>
  <c r="K58" i="1"/>
  <c r="E57" i="1"/>
  <c r="F57" i="1"/>
  <c r="G57" i="1"/>
  <c r="E62" i="1"/>
  <c r="F62" i="1"/>
  <c r="G62" i="1"/>
  <c r="J62" i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E72" i="1"/>
  <c r="F72" i="1"/>
  <c r="G72" i="1"/>
  <c r="K71" i="1"/>
  <c r="E73" i="1"/>
  <c r="F73" i="1"/>
  <c r="G73" i="1"/>
  <c r="J73" i="1"/>
  <c r="E60" i="1"/>
  <c r="F60" i="1"/>
  <c r="G60" i="1"/>
  <c r="E49" i="1"/>
  <c r="F49" i="1"/>
  <c r="G49" i="1"/>
  <c r="K49" i="1"/>
  <c r="E50" i="1"/>
  <c r="F50" i="1"/>
  <c r="G50" i="1"/>
  <c r="K50" i="1"/>
  <c r="E54" i="1"/>
  <c r="F54" i="1"/>
  <c r="G54" i="1"/>
  <c r="K54" i="1"/>
  <c r="E55" i="1"/>
  <c r="F55" i="1"/>
  <c r="G55" i="1"/>
  <c r="K55" i="1"/>
  <c r="E56" i="1"/>
  <c r="F56" i="1"/>
  <c r="G56" i="1"/>
  <c r="E59" i="1"/>
  <c r="F59" i="1"/>
  <c r="G59" i="1"/>
  <c r="K59" i="1"/>
  <c r="E63" i="1"/>
  <c r="F63" i="1"/>
  <c r="G63" i="1"/>
  <c r="K63" i="1"/>
  <c r="E22" i="1"/>
  <c r="F22" i="1"/>
  <c r="E43" i="1"/>
  <c r="F43" i="1"/>
  <c r="E67" i="1"/>
  <c r="F67" i="1"/>
  <c r="E23" i="1"/>
  <c r="F23" i="1"/>
  <c r="G23" i="1"/>
  <c r="I23" i="1"/>
  <c r="E24" i="1"/>
  <c r="F24" i="1"/>
  <c r="G24" i="1"/>
  <c r="I24" i="1"/>
  <c r="Q61" i="1"/>
  <c r="Q66" i="1"/>
  <c r="Q65" i="1"/>
  <c r="Q64" i="1"/>
  <c r="Q27" i="1"/>
  <c r="Q26" i="1"/>
  <c r="Q25" i="1"/>
  <c r="Q24" i="1"/>
  <c r="Q23" i="1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54" i="2"/>
  <c r="C54" i="2"/>
  <c r="E54" i="2"/>
  <c r="G53" i="2"/>
  <c r="C53" i="2"/>
  <c r="E53" i="2"/>
  <c r="G52" i="2"/>
  <c r="C52" i="2"/>
  <c r="E52" i="2"/>
  <c r="G51" i="2"/>
  <c r="C51" i="2"/>
  <c r="E51" i="2"/>
  <c r="G37" i="2"/>
  <c r="C37" i="2"/>
  <c r="E37" i="2"/>
  <c r="G50" i="2"/>
  <c r="C50" i="2"/>
  <c r="E50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37" i="2"/>
  <c r="B37" i="2"/>
  <c r="D37" i="2"/>
  <c r="A37" i="2"/>
  <c r="H50" i="2"/>
  <c r="D50" i="2"/>
  <c r="B50" i="2"/>
  <c r="A50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Q70" i="1"/>
  <c r="Q73" i="1"/>
  <c r="F16" i="1"/>
  <c r="C17" i="1"/>
  <c r="Q72" i="1"/>
  <c r="Q60" i="1"/>
  <c r="I60" i="1"/>
  <c r="Q71" i="1"/>
  <c r="K70" i="1"/>
  <c r="Q69" i="1"/>
  <c r="Q68" i="1"/>
  <c r="Q67" i="1"/>
  <c r="Q49" i="1"/>
  <c r="Q50" i="1"/>
  <c r="Q54" i="1"/>
  <c r="Q55" i="1"/>
  <c r="K56" i="1"/>
  <c r="Q56" i="1"/>
  <c r="Q59" i="1"/>
  <c r="Q63" i="1"/>
  <c r="K57" i="1"/>
  <c r="Q57" i="1"/>
  <c r="Q29" i="1"/>
  <c r="Q32" i="1"/>
  <c r="Q34" i="1"/>
  <c r="K36" i="1"/>
  <c r="Q36" i="1"/>
  <c r="Q38" i="1"/>
  <c r="Q40" i="1"/>
  <c r="Q62" i="1"/>
  <c r="Q58" i="1"/>
  <c r="Q22" i="1"/>
  <c r="Q30" i="1"/>
  <c r="K41" i="1"/>
  <c r="Q41" i="1"/>
  <c r="Q42" i="1"/>
  <c r="Q43" i="1"/>
  <c r="Q44" i="1"/>
  <c r="K45" i="1"/>
  <c r="Q45" i="1"/>
  <c r="Q46" i="1"/>
  <c r="Q28" i="1"/>
  <c r="Q31" i="1"/>
  <c r="K33" i="1"/>
  <c r="Q33" i="1"/>
  <c r="Q35" i="1"/>
  <c r="Q37" i="1"/>
  <c r="Q39" i="1"/>
  <c r="Q47" i="1"/>
  <c r="Q51" i="1"/>
  <c r="K52" i="1"/>
  <c r="Q52" i="1"/>
  <c r="Q48" i="1"/>
  <c r="Q53" i="1"/>
  <c r="Q21" i="1"/>
  <c r="H21" i="1"/>
  <c r="C12" i="1"/>
  <c r="C11" i="1"/>
  <c r="O24" i="1" l="1"/>
  <c r="O59" i="1"/>
  <c r="O31" i="1"/>
  <c r="O63" i="1"/>
  <c r="O73" i="1"/>
  <c r="O57" i="1"/>
  <c r="O70" i="1"/>
  <c r="O35" i="1"/>
  <c r="O51" i="1"/>
  <c r="O42" i="1"/>
  <c r="C15" i="1"/>
  <c r="O60" i="1"/>
  <c r="O71" i="1"/>
  <c r="O67" i="1"/>
  <c r="O40" i="1"/>
  <c r="O53" i="1"/>
  <c r="O62" i="1"/>
  <c r="O68" i="1"/>
  <c r="O58" i="1"/>
  <c r="O69" i="1"/>
  <c r="O23" i="1"/>
  <c r="O56" i="1"/>
  <c r="O64" i="1"/>
  <c r="O27" i="1"/>
  <c r="O72" i="1"/>
  <c r="O21" i="1"/>
  <c r="O54" i="1"/>
  <c r="O22" i="1"/>
  <c r="O61" i="1"/>
  <c r="O30" i="1"/>
  <c r="O50" i="1"/>
  <c r="O41" i="1"/>
  <c r="O49" i="1"/>
  <c r="O28" i="1"/>
  <c r="O43" i="1"/>
  <c r="O44" i="1"/>
  <c r="O38" i="1"/>
  <c r="O32" i="1"/>
  <c r="O34" i="1"/>
  <c r="O55" i="1"/>
  <c r="O29" i="1"/>
  <c r="O48" i="1"/>
  <c r="O37" i="1"/>
  <c r="O66" i="1"/>
  <c r="O39" i="1"/>
  <c r="O47" i="1"/>
  <c r="O65" i="1"/>
  <c r="O36" i="1"/>
  <c r="O52" i="1"/>
  <c r="O45" i="1"/>
  <c r="O33" i="1"/>
  <c r="O46" i="1"/>
  <c r="O26" i="1"/>
  <c r="O2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<sst xmlns="http://schemas.openxmlformats.org/spreadsheetml/2006/main" count="513" uniqueCount="263">
  <si>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</si>
  <si>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</si>
  <si>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</si>
  <si>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</si>
  <si>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</si>
  <si>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</si>
  <si>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</si>
  <si>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</si>
  <si>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</si>
  <si>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</si>
  <si>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</si>
  <si>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</si>
  <si>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</si>
  <si>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</si>
  <si>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</si>
  <si>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</si>
  <si>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</si>
  <si>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</si>
  <si>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</si>
  <si>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</si>
  <si>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</si>
  <si>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</si>
  <si>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</si>
  <si>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</si>
  <si>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</si>
  <si>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</si>
  <si>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</si>
  <si>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</si>
  <si>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5263</t>
  </si>
  <si>
    <t>IBVS 5287</t>
  </si>
  <si>
    <t>I</t>
  </si>
  <si>
    <t>IBVS 4887</t>
  </si>
  <si>
    <t>IBVS 4888</t>
  </si>
  <si>
    <t>II</t>
  </si>
  <si>
    <t>bad?</t>
  </si>
  <si>
    <t>Locher K</t>
  </si>
  <si>
    <t>BBSAG Bull.94</t>
  </si>
  <si>
    <t>B</t>
  </si>
  <si>
    <t>Diethelm R</t>
  </si>
  <si>
    <t>BBSAG Bull.111</t>
  </si>
  <si>
    <t>IBVS 5543</t>
  </si>
  <si>
    <t>EB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</si>
  <si>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</si>
  <si>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</si>
  <si>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</si>
  <si>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</si>
  <si>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</si>
  <si>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</si>
  <si>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</si>
  <si>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</si>
  <si>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5603</t>
  </si>
  <si>
    <t>OEJV 0074</t>
  </si>
  <si>
    <t>CCD</t>
  </si>
  <si>
    <t>CCD+C</t>
  </si>
  <si>
    <t>OEJV 0107</t>
  </si>
  <si>
    <t>IBVS 5920</t>
  </si>
  <si>
    <t>IBVS 5959</t>
  </si>
  <si>
    <t>IBVS 6011</t>
  </si>
  <si>
    <t>OEJV 0003</t>
  </si>
  <si>
    <t>IBVS 6042</t>
  </si>
  <si>
    <t>Add cycle</t>
  </si>
  <si>
    <t>Old Cycle</t>
  </si>
  <si>
    <t>IBVS 6084</t>
  </si>
  <si>
    <t>BAD</t>
  </si>
  <si>
    <t>V0706 Cyg / gsc 3187-1069?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</si>
  <si>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</si>
  <si>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</si>
  <si>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</si>
  <si>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</si>
  <si>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</si>
  <si>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</si>
  <si>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</si>
  <si>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</si>
  <si>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</si>
  <si>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</si>
  <si>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</si>
  <si>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2449926.4360 </t>
  </si>
  <si>
    <t> 27.07.1995 22:27 </t>
  </si>
  <si>
    <t> -0.0176 </t>
  </si>
  <si>
    <t>V </t>
  </si>
  <si>
    <t> R.Matus </t>
  </si>
  <si>
    <t> BRNO 32 </t>
  </si>
  <si>
    <t>2449926.4402 </t>
  </si>
  <si>
    <t> 27.07.1995 22:33 </t>
  </si>
  <si>
    <t> -0.0134 </t>
  </si>
  <si>
    <t> L.Brat </t>
  </si>
  <si>
    <t>2449926.4499 </t>
  </si>
  <si>
    <t> 27.07.1995 22:47 </t>
  </si>
  <si>
    <t> -0.0037 </t>
  </si>
  <si>
    <t> P.Sobotka </t>
  </si>
  <si>
    <t>2449926.4534 </t>
  </si>
  <si>
    <t> 27.07.1995 22:52 </t>
  </si>
  <si>
    <t> -0.0002 </t>
  </si>
  <si>
    <t> P.Hajek </t>
  </si>
  <si>
    <t>2449926.4562 </t>
  </si>
  <si>
    <t> 27.07.1995 22:56 </t>
  </si>
  <si>
    <t> 0.0026 </t>
  </si>
  <si>
    <t> P.Lutcha </t>
  </si>
  <si>
    <t>2449987.5056 </t>
  </si>
  <si>
    <t> 27.09.1995 00:08 </t>
  </si>
  <si>
    <t> -0.0275 </t>
  </si>
  <si>
    <t>E </t>
  </si>
  <si>
    <t>?</t>
  </si>
  <si>
    <t> E.Safarova </t>
  </si>
  <si>
    <t>IBVS 4887 </t>
  </si>
  <si>
    <t>2450053.2544 </t>
  </si>
  <si>
    <t> 01.12.1995 18:06 </t>
  </si>
  <si>
    <t> -0.0208 </t>
  </si>
  <si>
    <t> R.Diethelm </t>
  </si>
  <si>
    <t> BBS 111 </t>
  </si>
  <si>
    <t>2450604.3658 </t>
  </si>
  <si>
    <t> 04.06.1997 20:46 </t>
  </si>
  <si>
    <t> -0.0239 </t>
  </si>
  <si>
    <t> J.Safar </t>
  </si>
  <si>
    <t>2450658.4507 </t>
  </si>
  <si>
    <t> 28.07.1997 22:49 </t>
  </si>
  <si>
    <t> -0.0247 </t>
  </si>
  <si>
    <t>2450671.5074 </t>
  </si>
  <si>
    <t> 11.08.1997 00:10 </t>
  </si>
  <si>
    <t> -0.0231 </t>
  </si>
  <si>
    <t>2450693.4161 </t>
  </si>
  <si>
    <t> 01.09.1997 21:59 </t>
  </si>
  <si>
    <t> -0.0284 </t>
  </si>
  <si>
    <t>2450947.5299 </t>
  </si>
  <si>
    <t> 14.05.1998 00:43 </t>
  </si>
  <si>
    <t> -0.0241 </t>
  </si>
  <si>
    <t> M.Zejda </t>
  </si>
  <si>
    <t>IBVS 4888 </t>
  </si>
  <si>
    <t>2450961.5147 </t>
  </si>
  <si>
    <t> 28.05.1998 00:21 </t>
  </si>
  <si>
    <t> -0.0270 </t>
  </si>
  <si>
    <t>2451040.3400 </t>
  </si>
  <si>
    <t> 14.08.1998 20:09 </t>
  </si>
  <si>
    <t> 0.0011 </t>
  </si>
  <si>
    <t>2451040.5547 </t>
  </si>
  <si>
    <t> 15.08.1998 01:18 </t>
  </si>
  <si>
    <t> -0.0174 </t>
  </si>
  <si>
    <t>2451045.4416 </t>
  </si>
  <si>
    <t> 19.08.1998 22:35 </t>
  </si>
  <si>
    <t> -0.0262 </t>
  </si>
  <si>
    <t>2451081.3424 </t>
  </si>
  <si>
    <t> 24.09.1998 20:13 </t>
  </si>
  <si>
    <t> -0.0271 </t>
  </si>
  <si>
    <t>2451404.4559 </t>
  </si>
  <si>
    <t> 13.08.1999 22:56 </t>
  </si>
  <si>
    <t> -0.0289 </t>
  </si>
  <si>
    <t>IBVS 5263 </t>
  </si>
  <si>
    <t>2451721.5085 </t>
  </si>
  <si>
    <t> 26.06.2000 00:12 </t>
  </si>
  <si>
    <t> -0.0303 </t>
  </si>
  <si>
    <t>IBVS 5287 </t>
  </si>
  <si>
    <t>2451757.40910 </t>
  </si>
  <si>
    <t> 31.07.2000 21:49 </t>
  </si>
  <si>
    <t> -0.03145 </t>
  </si>
  <si>
    <t>C </t>
  </si>
  <si>
    <t>o</t>
  </si>
  <si>
    <t> K.Koss </t>
  </si>
  <si>
    <t>OEJV 0074 </t>
  </si>
  <si>
    <t>2451764.40310 </t>
  </si>
  <si>
    <t> 07.08.2000 21:40 </t>
  </si>
  <si>
    <t> -0.03129 </t>
  </si>
  <si>
    <t>2451776.5246 </t>
  </si>
  <si>
    <t> 20.08.2000 00:35 </t>
  </si>
  <si>
    <t> -0.0324 </t>
  </si>
  <si>
    <t>2451778.3897 </t>
  </si>
  <si>
    <t> 21.08.2000 21:21 </t>
  </si>
  <si>
    <t>2451841.3359 </t>
  </si>
  <si>
    <t> 23.10.2000 20:03 </t>
  </si>
  <si>
    <t> -0.0307 </t>
  </si>
  <si>
    <t>2452122.48340 </t>
  </si>
  <si>
    <t> 31.07.2001 23:36 </t>
  </si>
  <si>
    <t> -0.03554 </t>
  </si>
  <si>
    <t>2452137.40720 </t>
  </si>
  <si>
    <t> 15.08.2001 21:46 </t>
  </si>
  <si>
    <t> -0.03193 </t>
  </si>
  <si>
    <t> J.Šafár </t>
  </si>
  <si>
    <t>2452488.49110 </t>
  </si>
  <si>
    <t> 01.08.2002 23:47 </t>
  </si>
  <si>
    <t> -0.03874 </t>
  </si>
  <si>
    <t>2453139.8491 </t>
  </si>
  <si>
    <t> 14.05.2004 08:22 </t>
  </si>
  <si>
    <t> -0.0403 </t>
  </si>
  <si>
    <t> S.Dvorak </t>
  </si>
  <si>
    <t>IBVS 5603 </t>
  </si>
  <si>
    <t>2453179.484 </t>
  </si>
  <si>
    <t> 22.06.2004 23:36 </t>
  </si>
  <si>
    <t> -0.037 </t>
  </si>
  <si>
    <t> K.Locher </t>
  </si>
  <si>
    <t> BBS 130 </t>
  </si>
  <si>
    <t>2453227.50525 </t>
  </si>
  <si>
    <t> 10.08.2004 00:07 </t>
  </si>
  <si>
    <t> -0.04022 </t>
  </si>
  <si>
    <t> Koss &amp; Motl </t>
  </si>
  <si>
    <t>2453233.559 </t>
  </si>
  <si>
    <t> 16.08.2004 01:24 </t>
  </si>
  <si>
    <t> -0.048 </t>
  </si>
  <si>
    <t>OEJV 0003 </t>
  </si>
  <si>
    <t>2453256.4150 </t>
  </si>
  <si>
    <t> 07.09.2004 21:57 </t>
  </si>
  <si>
    <t> -0.0383 </t>
  </si>
  <si>
    <t> M.Zejda et al. </t>
  </si>
  <si>
    <t>IBVS 5741 </t>
  </si>
  <si>
    <t>2453259.4397 </t>
  </si>
  <si>
    <t> 10.09.2004 22:33 </t>
  </si>
  <si>
    <t> -0.0443 </t>
  </si>
  <si>
    <t> F.Agerer </t>
  </si>
  <si>
    <t>BAVM 173 </t>
  </si>
  <si>
    <t>2454298.4892 </t>
  </si>
  <si>
    <t> 16.07.2007 23:44 </t>
  </si>
  <si>
    <t> -0.0461 </t>
  </si>
  <si>
    <t>R</t>
  </si>
  <si>
    <t> M.Lehky </t>
  </si>
  <si>
    <t>OEJV 0107 </t>
  </si>
  <si>
    <t>2455051.4876 </t>
  </si>
  <si>
    <t> 07.08.2009 23:42 </t>
  </si>
  <si>
    <t> -0.0510 </t>
  </si>
  <si>
    <t>-I</t>
  </si>
  <si>
    <t>BAVM 212 </t>
  </si>
  <si>
    <t>2455062.4443 </t>
  </si>
  <si>
    <t> 18.08.2009 22:39 </t>
  </si>
  <si>
    <t>32055.5</t>
  </si>
  <si>
    <t> -0.0513 </t>
  </si>
  <si>
    <t>2455074.3327 </t>
  </si>
  <si>
    <t> 30.08.2009 19:59 </t>
  </si>
  <si>
    <t>32081</t>
  </si>
  <si>
    <t> -0.0525 </t>
  </si>
  <si>
    <t> Moschner &amp; Frank </t>
  </si>
  <si>
    <t>2455114.6896 </t>
  </si>
  <si>
    <t> 10.10.2009 04:33 </t>
  </si>
  <si>
    <t>32167.5</t>
  </si>
  <si>
    <t> -0.0267 </t>
  </si>
  <si>
    <t>IBVS 5920 </t>
  </si>
  <si>
    <t>2455306.5260 </t>
  </si>
  <si>
    <t> 20.04.2010 00:37 </t>
  </si>
  <si>
    <t>32579</t>
  </si>
  <si>
    <t> -0.0546 </t>
  </si>
  <si>
    <t> W.Moschner &amp; P.Frank </t>
  </si>
  <si>
    <t>BAVM 214 </t>
  </si>
  <si>
    <t>2455372.5018 </t>
  </si>
  <si>
    <t> 25.06.2010 00:02 </t>
  </si>
  <si>
    <t>32720.5</t>
  </si>
  <si>
    <t> -0.0540 </t>
  </si>
  <si>
    <t>2455462.4894 </t>
  </si>
  <si>
    <t> 22.09.2010 23:44 </t>
  </si>
  <si>
    <t>32913.5</t>
  </si>
  <si>
    <t> -0.0538 </t>
  </si>
  <si>
    <t>BAVM 215 </t>
  </si>
  <si>
    <t>2455849.7084 </t>
  </si>
  <si>
    <t> 15.10.2011 05:00 </t>
  </si>
  <si>
    <t>33744</t>
  </si>
  <si>
    <t> -0.0604 </t>
  </si>
  <si>
    <t>IBVS 6011 </t>
  </si>
  <si>
    <t>2456219.6872 </t>
  </si>
  <si>
    <t> 19.10.2012 04:29 </t>
  </si>
  <si>
    <t>34537.5</t>
  </si>
  <si>
    <t> -0.0556 </t>
  </si>
  <si>
    <t>IBVS 6042 </t>
  </si>
  <si>
    <t>2456491.5098 </t>
  </si>
  <si>
    <t> 18.07.2013 00:14 </t>
  </si>
  <si>
    <t>35120.5</t>
  </si>
  <si>
    <t> -0.0602 </t>
  </si>
  <si>
    <t>BAVM 232 </t>
  </si>
  <si>
    <t>IBVS 5741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</si>
</sst>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V0706 Cyg - O-C Diagr.</a:t>
            </a:r>
          </a:p>
        </c:rich>
      </c:tx>
      <c:layout>
        <c:manualLayout>
          <c:xMode val="edge"/>
          <c:yMode val="edge"/>
          <c:x val="0.34883758492621336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628822944171"/>
          <c:y val="0.14733564871860416"/>
          <c:w val="0.79248727541444985"/>
          <c:h val="0.623825406276643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5-4DA7-AA4B-7CC4CE19D7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-1.7556799997691996E-2</c:v>
                </c:pt>
                <c:pt idx="3">
                  <c:v>-1.3356800001929514E-2</c:v>
                </c:pt>
                <c:pt idx="4">
                  <c:v>-3.6567999995895661E-3</c:v>
                </c:pt>
                <c:pt idx="5">
                  <c:v>-1.568000006955117E-4</c:v>
                </c:pt>
                <c:pt idx="6">
                  <c:v>2.6432000013301149E-3</c:v>
                </c:pt>
                <c:pt idx="39">
                  <c:v>-4.7797359999094624E-2</c:v>
                </c:pt>
                <c:pt idx="43">
                  <c:v>-5.1029439993726555E-2</c:v>
                </c:pt>
                <c:pt idx="44">
                  <c:v>-5.1343559993256349E-2</c:v>
                </c:pt>
                <c:pt idx="45">
                  <c:v>-5.2469520000158809E-2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5-4DA7-AA4B-7CC4CE19D7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1">
                  <c:v>-4.4300919995293953E-2</c:v>
                </c:pt>
                <c:pt idx="47">
                  <c:v>-5.4617679998045787E-2</c:v>
                </c:pt>
                <c:pt idx="48">
                  <c:v>-5.4030359999160282E-2</c:v>
                </c:pt>
                <c:pt idx="49">
                  <c:v>-5.3822919995582197E-2</c:v>
                </c:pt>
                <c:pt idx="52">
                  <c:v>-6.0238359998038504E-2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D5-4DA7-AA4B-7CC4CE19D7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">
                  <c:v>-2.7482320001581684E-2</c:v>
                </c:pt>
                <c:pt idx="8">
                  <c:v>-2.7482320001581684E-2</c:v>
                </c:pt>
                <c:pt idx="9">
                  <c:v>-2.0767039997735992E-2</c:v>
                </c:pt>
                <c:pt idx="10">
                  <c:v>-2.3864479997428134E-2</c:v>
                </c:pt>
                <c:pt idx="11">
                  <c:v>-2.3864479997428134E-2</c:v>
                </c:pt>
                <c:pt idx="12">
                  <c:v>-2.5169039996399079E-2</c:v>
                </c:pt>
                <c:pt idx="13">
                  <c:v>-2.5169039996399079E-2</c:v>
                </c:pt>
                <c:pt idx="14">
                  <c:v>-2.4651199993968476E-2</c:v>
                </c:pt>
                <c:pt idx="15">
                  <c:v>-2.4651199993968476E-2</c:v>
                </c:pt>
                <c:pt idx="16">
                  <c:v>-2.3116959993785713E-2</c:v>
                </c:pt>
                <c:pt idx="17">
                  <c:v>-2.3116959993785713E-2</c:v>
                </c:pt>
                <c:pt idx="18">
                  <c:v>-2.8445199990528636E-2</c:v>
                </c:pt>
                <c:pt idx="19">
                  <c:v>-2.8445199990528636E-2</c:v>
                </c:pt>
                <c:pt idx="20">
                  <c:v>-2.4121599992213305E-2</c:v>
                </c:pt>
                <c:pt idx="21">
                  <c:v>-2.699919999577105E-2</c:v>
                </c:pt>
                <c:pt idx="23">
                  <c:v>-1.7377639996993821E-2</c:v>
                </c:pt>
                <c:pt idx="24">
                  <c:v>-2.616479999414878E-2</c:v>
                </c:pt>
                <c:pt idx="25">
                  <c:v>-2.7070639996964019E-2</c:v>
                </c:pt>
                <c:pt idx="26">
                  <c:v>-2.8923199992277659E-2</c:v>
                </c:pt>
                <c:pt idx="27">
                  <c:v>-3.0348799991770647E-2</c:v>
                </c:pt>
                <c:pt idx="28">
                  <c:v>-3.1454639996809419E-2</c:v>
                </c:pt>
                <c:pt idx="29">
                  <c:v>-3.1293439991713967E-2</c:v>
                </c:pt>
                <c:pt idx="30">
                  <c:v>-3.2447359997604508E-2</c:v>
                </c:pt>
                <c:pt idx="31">
                  <c:v>-3.2371039997087792E-2</c:v>
                </c:pt>
                <c:pt idx="32">
                  <c:v>-3.0720239999936894E-2</c:v>
                </c:pt>
                <c:pt idx="33">
                  <c:v>-3.553999999712687E-2</c:v>
                </c:pt>
                <c:pt idx="34">
                  <c:v>-3.1929439996019937E-2</c:v>
                </c:pt>
                <c:pt idx="35">
                  <c:v>-3.8737199996830896E-2</c:v>
                </c:pt>
                <c:pt idx="36">
                  <c:v>-4.0257439999550115E-2</c:v>
                </c:pt>
                <c:pt idx="37">
                  <c:v>-3.7110639997990802E-2</c:v>
                </c:pt>
                <c:pt idx="38">
                  <c:v>-4.0220399998361245E-2</c:v>
                </c:pt>
                <c:pt idx="40">
                  <c:v>-3.8337439997121692E-2</c:v>
                </c:pt>
                <c:pt idx="42">
                  <c:v>-4.604863999702502E-2</c:v>
                </c:pt>
                <c:pt idx="49">
                  <c:v>-6.0364479992131237E-2</c:v>
                </c:pt>
                <c:pt idx="50">
                  <c:v>-5.5636999997659586E-2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D5-4DA7-AA4B-7CC4CE19D7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D5-4DA7-AA4B-7CC4CE19D7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D5-4DA7-AA4B-7CC4CE19D7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D5-4DA7-AA4B-7CC4CE19D7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4.1701567806282057E-2</c:v>
                </c:pt>
                <c:pt idx="1">
                  <c:v>-7.4680856005255661E-3</c:v>
                </c:pt>
                <c:pt idx="2">
                  <c:v>-1.9822637229652072E-2</c:v>
                </c:pt>
                <c:pt idx="3">
                  <c:v>-1.9822637229652072E-2</c:v>
                </c:pt>
                <c:pt idx="4">
                  <c:v>-1.9822637229652072E-2</c:v>
                </c:pt>
                <c:pt idx="5">
                  <c:v>-1.9822637229652072E-2</c:v>
                </c:pt>
                <c:pt idx="6">
                  <c:v>-1.9822637229652072E-2</c:v>
                </c:pt>
                <c:pt idx="7">
                  <c:v>-2.0205701434010792E-2</c:v>
                </c:pt>
                <c:pt idx="8">
                  <c:v>-2.0205701434010792E-2</c:v>
                </c:pt>
                <c:pt idx="9">
                  <c:v>-2.0618007180686966E-2</c:v>
                </c:pt>
                <c:pt idx="10">
                  <c:v>-2.4074357482610644E-2</c:v>
                </c:pt>
                <c:pt idx="11">
                  <c:v>-2.4074357482610644E-2</c:v>
                </c:pt>
                <c:pt idx="12">
                  <c:v>-2.4200096114575721E-2</c:v>
                </c:pt>
                <c:pt idx="13">
                  <c:v>-2.4200096114575721E-2</c:v>
                </c:pt>
                <c:pt idx="14">
                  <c:v>-2.4413559373493161E-2</c:v>
                </c:pt>
                <c:pt idx="15">
                  <c:v>-2.4413559373493161E-2</c:v>
                </c:pt>
                <c:pt idx="16">
                  <c:v>-2.4495435691982058E-2</c:v>
                </c:pt>
                <c:pt idx="17">
                  <c:v>-2.4495435691982058E-2</c:v>
                </c:pt>
                <c:pt idx="18">
                  <c:v>-2.4632870940874109E-2</c:v>
                </c:pt>
                <c:pt idx="19">
                  <c:v>-2.4632870940874109E-2</c:v>
                </c:pt>
                <c:pt idx="20">
                  <c:v>-2.6226534997175636E-2</c:v>
                </c:pt>
                <c:pt idx="21">
                  <c:v>-2.6314259624128013E-2</c:v>
                </c:pt>
                <c:pt idx="22">
                  <c:v>-2.6808441689293076E-2</c:v>
                </c:pt>
                <c:pt idx="23">
                  <c:v>-2.6809903766408953E-2</c:v>
                </c:pt>
                <c:pt idx="24">
                  <c:v>-2.6840607385842284E-2</c:v>
                </c:pt>
                <c:pt idx="25">
                  <c:v>-2.7065767261686711E-2</c:v>
                </c:pt>
                <c:pt idx="26">
                  <c:v>-2.9092206144286641E-2</c:v>
                </c:pt>
                <c:pt idx="27">
                  <c:v>-3.1080631021873868E-2</c:v>
                </c:pt>
                <c:pt idx="28">
                  <c:v>-3.1305790897718296E-2</c:v>
                </c:pt>
                <c:pt idx="29">
                  <c:v>-3.1349653211194491E-2</c:v>
                </c:pt>
                <c:pt idx="30">
                  <c:v>-3.142568122121988E-2</c:v>
                </c:pt>
                <c:pt idx="31">
                  <c:v>-3.1437377838146867E-2</c:v>
                </c:pt>
                <c:pt idx="32">
                  <c:v>-3.1832138659432567E-2</c:v>
                </c:pt>
                <c:pt idx="33">
                  <c:v>-3.3595403661175353E-2</c:v>
                </c:pt>
                <c:pt idx="34">
                  <c:v>-3.3688976596591223E-2</c:v>
                </c:pt>
                <c:pt idx="35">
                  <c:v>-3.5890864733095905E-2</c:v>
                </c:pt>
                <c:pt idx="36">
                  <c:v>-3.9975908194844943E-2</c:v>
                </c:pt>
                <c:pt idx="37">
                  <c:v>-4.0224461304543345E-2</c:v>
                </c:pt>
                <c:pt idx="38">
                  <c:v>-4.0525649190413175E-2</c:v>
                </c:pt>
                <c:pt idx="39">
                  <c:v>-4.0563663195425877E-2</c:v>
                </c:pt>
                <c:pt idx="40">
                  <c:v>-4.0706946752781421E-2</c:v>
                </c:pt>
                <c:pt idx="41">
                  <c:v>-4.0725953755287779E-2</c:v>
                </c:pt>
                <c:pt idx="42">
                  <c:v>-4.7242431460733557E-2</c:v>
                </c:pt>
                <c:pt idx="43">
                  <c:v>-5.1964940545003217E-2</c:v>
                </c:pt>
                <c:pt idx="44">
                  <c:v>-5.203365816944925E-2</c:v>
                </c:pt>
                <c:pt idx="45">
                  <c:v>-5.2108224102358762E-2</c:v>
                </c:pt>
                <c:pt idx="46">
                  <c:v>-5.236116344340478E-2</c:v>
                </c:pt>
                <c:pt idx="47">
                  <c:v>-5.3564452909768238E-2</c:v>
                </c:pt>
                <c:pt idx="48">
                  <c:v>-5.3978220733560282E-2</c:v>
                </c:pt>
                <c:pt idx="49">
                  <c:v>-5.4542582500287241E-2</c:v>
                </c:pt>
                <c:pt idx="50">
                  <c:v>-5.6971092589752227E-2</c:v>
                </c:pt>
                <c:pt idx="51">
                  <c:v>-5.9291408972642616E-2</c:v>
                </c:pt>
                <c:pt idx="52">
                  <c:v>-6.099619088975048E-2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D5-4DA7-AA4B-7CC4CE19D7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6.9705200003227219E-2</c:v>
                </c:pt>
                <c:pt idx="22">
                  <c:v>1.05032000283245E-3</c:v>
                </c:pt>
                <c:pt idx="46">
                  <c:v>-2.670659999421332E-2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D5-4DA7-AA4B-7CC4CE19D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454752"/>
        <c:axId val="1"/>
      </c:scatterChart>
      <c:valAx>
        <c:axId val="92045475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5064396020261"/>
              <c:y val="0.83385711582290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67262969588549E-2"/>
              <c:y val="0.3636370218612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454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80161893895642"/>
          <c:y val="0.91849661425550644"/>
          <c:w val="0.84973241493292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V0706 Cyg - O-C Diagr.</a:t>
            </a:r>
          </a:p>
        </c:rich>
      </c:tx>
      <c:layout>
        <c:manualLayout>
          <c:xMode val="edge"/>
          <c:yMode val="edge"/>
          <c:x val="0.348214285714285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57142857142858"/>
          <c:y val="0.14687500000000001"/>
          <c:w val="0.79107142857142854"/>
          <c:h val="0.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A-4425-9EEC-293863430C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-1.7556799997691996E-2</c:v>
                </c:pt>
                <c:pt idx="3">
                  <c:v>-1.3356800001929514E-2</c:v>
                </c:pt>
                <c:pt idx="4">
                  <c:v>-3.6567999995895661E-3</c:v>
                </c:pt>
                <c:pt idx="5">
                  <c:v>-1.568000006955117E-4</c:v>
                </c:pt>
                <c:pt idx="6">
                  <c:v>2.6432000013301149E-3</c:v>
                </c:pt>
                <c:pt idx="39">
                  <c:v>-4.7797359999094624E-2</c:v>
                </c:pt>
                <c:pt idx="43">
                  <c:v>-5.1029439993726555E-2</c:v>
                </c:pt>
                <c:pt idx="44">
                  <c:v>-5.1343559993256349E-2</c:v>
                </c:pt>
                <c:pt idx="45">
                  <c:v>-5.2469520000158809E-2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A-4425-9EEC-293863430C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1">
                  <c:v>-4.4300919995293953E-2</c:v>
                </c:pt>
                <c:pt idx="47">
                  <c:v>-5.4617679998045787E-2</c:v>
                </c:pt>
                <c:pt idx="48">
                  <c:v>-5.4030359999160282E-2</c:v>
                </c:pt>
                <c:pt idx="49">
                  <c:v>-5.3822919995582197E-2</c:v>
                </c:pt>
                <c:pt idx="52">
                  <c:v>-6.0238359998038504E-2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7A-4425-9EEC-293863430C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">
                  <c:v>-2.7482320001581684E-2</c:v>
                </c:pt>
                <c:pt idx="8">
                  <c:v>-2.7482320001581684E-2</c:v>
                </c:pt>
                <c:pt idx="9">
                  <c:v>-2.0767039997735992E-2</c:v>
                </c:pt>
                <c:pt idx="10">
                  <c:v>-2.3864479997428134E-2</c:v>
                </c:pt>
                <c:pt idx="11">
                  <c:v>-2.3864479997428134E-2</c:v>
                </c:pt>
                <c:pt idx="12">
                  <c:v>-2.5169039996399079E-2</c:v>
                </c:pt>
                <c:pt idx="13">
                  <c:v>-2.5169039996399079E-2</c:v>
                </c:pt>
                <c:pt idx="14">
                  <c:v>-2.4651199993968476E-2</c:v>
                </c:pt>
                <c:pt idx="15">
                  <c:v>-2.4651199993968476E-2</c:v>
                </c:pt>
                <c:pt idx="16">
                  <c:v>-2.3116959993785713E-2</c:v>
                </c:pt>
                <c:pt idx="17">
                  <c:v>-2.3116959993785713E-2</c:v>
                </c:pt>
                <c:pt idx="18">
                  <c:v>-2.8445199990528636E-2</c:v>
                </c:pt>
                <c:pt idx="19">
                  <c:v>-2.8445199990528636E-2</c:v>
                </c:pt>
                <c:pt idx="20">
                  <c:v>-2.4121599992213305E-2</c:v>
                </c:pt>
                <c:pt idx="21">
                  <c:v>-2.699919999577105E-2</c:v>
                </c:pt>
                <c:pt idx="23">
                  <c:v>-1.7377639996993821E-2</c:v>
                </c:pt>
                <c:pt idx="24">
                  <c:v>-2.616479999414878E-2</c:v>
                </c:pt>
                <c:pt idx="25">
                  <c:v>-2.7070639996964019E-2</c:v>
                </c:pt>
                <c:pt idx="26">
                  <c:v>-2.8923199992277659E-2</c:v>
                </c:pt>
                <c:pt idx="27">
                  <c:v>-3.0348799991770647E-2</c:v>
                </c:pt>
                <c:pt idx="28">
                  <c:v>-3.1454639996809419E-2</c:v>
                </c:pt>
                <c:pt idx="29">
                  <c:v>-3.1293439991713967E-2</c:v>
                </c:pt>
                <c:pt idx="30">
                  <c:v>-3.2447359997604508E-2</c:v>
                </c:pt>
                <c:pt idx="31">
                  <c:v>-3.2371039997087792E-2</c:v>
                </c:pt>
                <c:pt idx="32">
                  <c:v>-3.0720239999936894E-2</c:v>
                </c:pt>
                <c:pt idx="33">
                  <c:v>-3.553999999712687E-2</c:v>
                </c:pt>
                <c:pt idx="34">
                  <c:v>-3.1929439996019937E-2</c:v>
                </c:pt>
                <c:pt idx="35">
                  <c:v>-3.8737199996830896E-2</c:v>
                </c:pt>
                <c:pt idx="36">
                  <c:v>-4.0257439999550115E-2</c:v>
                </c:pt>
                <c:pt idx="37">
                  <c:v>-3.7110639997990802E-2</c:v>
                </c:pt>
                <c:pt idx="38">
                  <c:v>-4.0220399998361245E-2</c:v>
                </c:pt>
                <c:pt idx="40">
                  <c:v>-3.8337439997121692E-2</c:v>
                </c:pt>
                <c:pt idx="42">
                  <c:v>-4.604863999702502E-2</c:v>
                </c:pt>
                <c:pt idx="49">
                  <c:v>-6.0364479992131237E-2</c:v>
                </c:pt>
                <c:pt idx="50">
                  <c:v>-5.5636999997659586E-2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7A-4425-9EEC-293863430C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A-4425-9EEC-293863430C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A-4425-9EEC-293863430C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  <c:pt idx="8">
                    <c:v>2.3999999999999998E-3</c:v>
                  </c:pt>
                  <c:pt idx="9">
                    <c:v>1.6000000000000001E-3</c:v>
                  </c:pt>
                  <c:pt idx="10">
                    <c:v>2.0999999999999999E-3</c:v>
                  </c:pt>
                  <c:pt idx="11">
                    <c:v>2.0999999999999999E-3</c:v>
                  </c:pt>
                  <c:pt idx="12">
                    <c:v>1.4E-3</c:v>
                  </c:pt>
                  <c:pt idx="13">
                    <c:v>1.4E-3</c:v>
                  </c:pt>
                  <c:pt idx="14">
                    <c:v>2.0999999999999999E-3</c:v>
                  </c:pt>
                  <c:pt idx="15">
                    <c:v>2.0999999999999999E-3</c:v>
                  </c:pt>
                  <c:pt idx="16">
                    <c:v>2.0999999999999999E-3</c:v>
                  </c:pt>
                  <c:pt idx="17">
                    <c:v>2.0999999999999999E-3</c:v>
                  </c:pt>
                  <c:pt idx="18">
                    <c:v>1.4E-3</c:v>
                  </c:pt>
                  <c:pt idx="19">
                    <c:v>1.4E-3</c:v>
                  </c:pt>
                  <c:pt idx="20">
                    <c:v>6.6E-3</c:v>
                  </c:pt>
                  <c:pt idx="21">
                    <c:v>2E-3</c:v>
                  </c:pt>
                  <c:pt idx="22">
                    <c:v>1.4E-3</c:v>
                  </c:pt>
                  <c:pt idx="23">
                    <c:v>1.6999999999999999E-3</c:v>
                  </c:pt>
                  <c:pt idx="24">
                    <c:v>7.1000000000000004E-3</c:v>
                  </c:pt>
                  <c:pt idx="25">
                    <c:v>1.8E-3</c:v>
                  </c:pt>
                  <c:pt idx="26">
                    <c:v>2.5000000000000001E-3</c:v>
                  </c:pt>
                  <c:pt idx="27">
                    <c:v>1.5E-3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2.8E-3</c:v>
                  </c:pt>
                  <c:pt idx="31">
                    <c:v>2.3E-3</c:v>
                  </c:pt>
                  <c:pt idx="32">
                    <c:v>4.5999999999999999E-3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4.0000000000000002E-4</c:v>
                  </c:pt>
                  <c:pt idx="37">
                    <c:v>3.0000000000000001E-3</c:v>
                  </c:pt>
                  <c:pt idx="38">
                    <c:v>0</c:v>
                  </c:pt>
                  <c:pt idx="39">
                    <c:v>4.0000000000000001E-3</c:v>
                  </c:pt>
                  <c:pt idx="40">
                    <c:v>0</c:v>
                  </c:pt>
                  <c:pt idx="41">
                    <c:v>1.6999999999999999E-3</c:v>
                  </c:pt>
                  <c:pt idx="42">
                    <c:v>1E-4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5.0000000000000001E-4</c:v>
                  </c:pt>
                  <c:pt idx="47">
                    <c:v>2.0000000000000001E-4</c:v>
                  </c:pt>
                  <c:pt idx="48">
                    <c:v>1.8E-3</c:v>
                  </c:pt>
                  <c:pt idx="49">
                    <c:v>1.6999999999999999E-3</c:v>
                  </c:pt>
                  <c:pt idx="50">
                    <c:v>8.0000000000000004E-4</c:v>
                  </c:pt>
                  <c:pt idx="51">
                    <c:v>5.0000000000000001E-4</c:v>
                  </c:pt>
                  <c:pt idx="52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7A-4425-9EEC-293863430C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4.1701567806282057E-2</c:v>
                </c:pt>
                <c:pt idx="1">
                  <c:v>-7.4680856005255661E-3</c:v>
                </c:pt>
                <c:pt idx="2">
                  <c:v>-1.9822637229652072E-2</c:v>
                </c:pt>
                <c:pt idx="3">
                  <c:v>-1.9822637229652072E-2</c:v>
                </c:pt>
                <c:pt idx="4">
                  <c:v>-1.9822637229652072E-2</c:v>
                </c:pt>
                <c:pt idx="5">
                  <c:v>-1.9822637229652072E-2</c:v>
                </c:pt>
                <c:pt idx="6">
                  <c:v>-1.9822637229652072E-2</c:v>
                </c:pt>
                <c:pt idx="7">
                  <c:v>-2.0205701434010792E-2</c:v>
                </c:pt>
                <c:pt idx="8">
                  <c:v>-2.0205701434010792E-2</c:v>
                </c:pt>
                <c:pt idx="9">
                  <c:v>-2.0618007180686966E-2</c:v>
                </c:pt>
                <c:pt idx="10">
                  <c:v>-2.4074357482610644E-2</c:v>
                </c:pt>
                <c:pt idx="11">
                  <c:v>-2.4074357482610644E-2</c:v>
                </c:pt>
                <c:pt idx="12">
                  <c:v>-2.4200096114575721E-2</c:v>
                </c:pt>
                <c:pt idx="13">
                  <c:v>-2.4200096114575721E-2</c:v>
                </c:pt>
                <c:pt idx="14">
                  <c:v>-2.4413559373493161E-2</c:v>
                </c:pt>
                <c:pt idx="15">
                  <c:v>-2.4413559373493161E-2</c:v>
                </c:pt>
                <c:pt idx="16">
                  <c:v>-2.4495435691982058E-2</c:v>
                </c:pt>
                <c:pt idx="17">
                  <c:v>-2.4495435691982058E-2</c:v>
                </c:pt>
                <c:pt idx="18">
                  <c:v>-2.4632870940874109E-2</c:v>
                </c:pt>
                <c:pt idx="19">
                  <c:v>-2.4632870940874109E-2</c:v>
                </c:pt>
                <c:pt idx="20">
                  <c:v>-2.6226534997175636E-2</c:v>
                </c:pt>
                <c:pt idx="21">
                  <c:v>-2.6314259624128013E-2</c:v>
                </c:pt>
                <c:pt idx="22">
                  <c:v>-2.6808441689293076E-2</c:v>
                </c:pt>
                <c:pt idx="23">
                  <c:v>-2.6809903766408953E-2</c:v>
                </c:pt>
                <c:pt idx="24">
                  <c:v>-2.6840607385842284E-2</c:v>
                </c:pt>
                <c:pt idx="25">
                  <c:v>-2.7065767261686711E-2</c:v>
                </c:pt>
                <c:pt idx="26">
                  <c:v>-2.9092206144286641E-2</c:v>
                </c:pt>
                <c:pt idx="27">
                  <c:v>-3.1080631021873868E-2</c:v>
                </c:pt>
                <c:pt idx="28">
                  <c:v>-3.1305790897718296E-2</c:v>
                </c:pt>
                <c:pt idx="29">
                  <c:v>-3.1349653211194491E-2</c:v>
                </c:pt>
                <c:pt idx="30">
                  <c:v>-3.142568122121988E-2</c:v>
                </c:pt>
                <c:pt idx="31">
                  <c:v>-3.1437377838146867E-2</c:v>
                </c:pt>
                <c:pt idx="32">
                  <c:v>-3.1832138659432567E-2</c:v>
                </c:pt>
                <c:pt idx="33">
                  <c:v>-3.3595403661175353E-2</c:v>
                </c:pt>
                <c:pt idx="34">
                  <c:v>-3.3688976596591223E-2</c:v>
                </c:pt>
                <c:pt idx="35">
                  <c:v>-3.5890864733095905E-2</c:v>
                </c:pt>
                <c:pt idx="36">
                  <c:v>-3.9975908194844943E-2</c:v>
                </c:pt>
                <c:pt idx="37">
                  <c:v>-4.0224461304543345E-2</c:v>
                </c:pt>
                <c:pt idx="38">
                  <c:v>-4.0525649190413175E-2</c:v>
                </c:pt>
                <c:pt idx="39">
                  <c:v>-4.0563663195425877E-2</c:v>
                </c:pt>
                <c:pt idx="40">
                  <c:v>-4.0706946752781421E-2</c:v>
                </c:pt>
                <c:pt idx="41">
                  <c:v>-4.0725953755287779E-2</c:v>
                </c:pt>
                <c:pt idx="42">
                  <c:v>-4.7242431460733557E-2</c:v>
                </c:pt>
                <c:pt idx="43">
                  <c:v>-5.1964940545003217E-2</c:v>
                </c:pt>
                <c:pt idx="44">
                  <c:v>-5.203365816944925E-2</c:v>
                </c:pt>
                <c:pt idx="45">
                  <c:v>-5.2108224102358762E-2</c:v>
                </c:pt>
                <c:pt idx="46">
                  <c:v>-5.236116344340478E-2</c:v>
                </c:pt>
                <c:pt idx="47">
                  <c:v>-5.3564452909768238E-2</c:v>
                </c:pt>
                <c:pt idx="48">
                  <c:v>-5.3978220733560282E-2</c:v>
                </c:pt>
                <c:pt idx="49">
                  <c:v>-5.4542582500287241E-2</c:v>
                </c:pt>
                <c:pt idx="50">
                  <c:v>-5.6971092589752227E-2</c:v>
                </c:pt>
                <c:pt idx="51">
                  <c:v>-5.9291408972642616E-2</c:v>
                </c:pt>
                <c:pt idx="52">
                  <c:v>-6.099619088975048E-2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7A-4425-9EEC-293863430C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16815</c:v>
                </c:pt>
                <c:pt idx="2">
                  <c:v>21040</c:v>
                </c:pt>
                <c:pt idx="3">
                  <c:v>21040</c:v>
                </c:pt>
                <c:pt idx="4">
                  <c:v>21040</c:v>
                </c:pt>
                <c:pt idx="5">
                  <c:v>21040</c:v>
                </c:pt>
                <c:pt idx="6">
                  <c:v>21040</c:v>
                </c:pt>
                <c:pt idx="7">
                  <c:v>21171</c:v>
                </c:pt>
                <c:pt idx="8">
                  <c:v>21171</c:v>
                </c:pt>
                <c:pt idx="9">
                  <c:v>21312</c:v>
                </c:pt>
                <c:pt idx="10">
                  <c:v>22494</c:v>
                </c:pt>
                <c:pt idx="11">
                  <c:v>22494</c:v>
                </c:pt>
                <c:pt idx="12">
                  <c:v>22537</c:v>
                </c:pt>
                <c:pt idx="13">
                  <c:v>22537</c:v>
                </c:pt>
                <c:pt idx="14">
                  <c:v>22610</c:v>
                </c:pt>
                <c:pt idx="15">
                  <c:v>22610</c:v>
                </c:pt>
                <c:pt idx="16">
                  <c:v>22638</c:v>
                </c:pt>
                <c:pt idx="17">
                  <c:v>22638</c:v>
                </c:pt>
                <c:pt idx="18">
                  <c:v>22685</c:v>
                </c:pt>
                <c:pt idx="19">
                  <c:v>22685</c:v>
                </c:pt>
                <c:pt idx="20">
                  <c:v>23230</c:v>
                </c:pt>
                <c:pt idx="21">
                  <c:v>23260</c:v>
                </c:pt>
                <c:pt idx="22">
                  <c:v>23429</c:v>
                </c:pt>
                <c:pt idx="23">
                  <c:v>23429.5</c:v>
                </c:pt>
                <c:pt idx="24">
                  <c:v>23440</c:v>
                </c:pt>
                <c:pt idx="25">
                  <c:v>23517</c:v>
                </c:pt>
                <c:pt idx="26">
                  <c:v>24210</c:v>
                </c:pt>
                <c:pt idx="27">
                  <c:v>24890</c:v>
                </c:pt>
                <c:pt idx="28">
                  <c:v>24967</c:v>
                </c:pt>
                <c:pt idx="29">
                  <c:v>24982</c:v>
                </c:pt>
                <c:pt idx="30">
                  <c:v>25008</c:v>
                </c:pt>
                <c:pt idx="31">
                  <c:v>25012</c:v>
                </c:pt>
                <c:pt idx="32">
                  <c:v>25147</c:v>
                </c:pt>
                <c:pt idx="33">
                  <c:v>25750</c:v>
                </c:pt>
                <c:pt idx="34">
                  <c:v>25782</c:v>
                </c:pt>
                <c:pt idx="35">
                  <c:v>26535</c:v>
                </c:pt>
                <c:pt idx="36">
                  <c:v>27932</c:v>
                </c:pt>
                <c:pt idx="37">
                  <c:v>28017</c:v>
                </c:pt>
                <c:pt idx="38">
                  <c:v>28120</c:v>
                </c:pt>
                <c:pt idx="39">
                  <c:v>28133</c:v>
                </c:pt>
                <c:pt idx="40">
                  <c:v>28182</c:v>
                </c:pt>
                <c:pt idx="41">
                  <c:v>28188.5</c:v>
                </c:pt>
                <c:pt idx="42">
                  <c:v>30417</c:v>
                </c:pt>
                <c:pt idx="43">
                  <c:v>32032</c:v>
                </c:pt>
                <c:pt idx="44">
                  <c:v>32055.5</c:v>
                </c:pt>
                <c:pt idx="45">
                  <c:v>32081</c:v>
                </c:pt>
                <c:pt idx="46">
                  <c:v>32167.5</c:v>
                </c:pt>
                <c:pt idx="47">
                  <c:v>32579</c:v>
                </c:pt>
                <c:pt idx="48">
                  <c:v>32720.5</c:v>
                </c:pt>
                <c:pt idx="49">
                  <c:v>32913.5</c:v>
                </c:pt>
                <c:pt idx="50">
                  <c:v>33744</c:v>
                </c:pt>
                <c:pt idx="51">
                  <c:v>34537.5</c:v>
                </c:pt>
                <c:pt idx="52">
                  <c:v>35120.5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6.9705200003227219E-2</c:v>
                </c:pt>
                <c:pt idx="22">
                  <c:v>1.05032000283245E-3</c:v>
                </c:pt>
                <c:pt idx="46">
                  <c:v>-2.670659999421332E-2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7A-4425-9EEC-293863430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464832"/>
        <c:axId val="1"/>
      </c:scatterChart>
      <c:valAx>
        <c:axId val="9204648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1428571428574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46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57142857142856"/>
          <c:y val="0.91874999999999996"/>
          <c:w val="0.848214285714285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228600</xdr:colOff>
      <xdr:row>18</xdr:row>
      <xdr:rowOff>76200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C786E9-4192-8343-3E3F-33FB3B9C6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76200</xdr:rowOff>
    </xdr:from>
    <xdr:to>
      <xdr:col>27</xdr:col>
      <xdr:colOff>171450</xdr:colOff>
      <xdr:row>18</xdr:row>
      <xdr:rowOff>28575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25AF9727-DB6D-CC60-8044-D4C23189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888" TargetMode="External"/><Relationship Id="rId13" Type="http://schemas.openxmlformats.org/officeDocument/2006/relationships/hyperlink" Target="http://www.konkoly.hu/cgi-bin/IBVS?5287" TargetMode="External"/><Relationship Id="rId18" Type="http://schemas.openxmlformats.org/officeDocument/2006/relationships/hyperlink" Target="http://www.konkoly.hu/cgi-bin/IBVS?5287" TargetMode="External"/><Relationship Id="rId26" Type="http://schemas.openxmlformats.org/officeDocument/2006/relationships/hyperlink" Target="http://www.bav-astro.de/sfs/BAVM_link.php?BAVMnr=173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var.astro.cz/oejv/issues/oejv0074.pdf" TargetMode="External"/><Relationship Id="rId34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konkoly.hu/cgi-bin/IBVS?4888" TargetMode="External"/><Relationship Id="rId12" Type="http://schemas.openxmlformats.org/officeDocument/2006/relationships/hyperlink" Target="http://www.konkoly.hu/cgi-bin/IBVS?5263" TargetMode="External"/><Relationship Id="rId17" Type="http://schemas.openxmlformats.org/officeDocument/2006/relationships/hyperlink" Target="http://www.konkoly.hu/cgi-bin/IBVS?5287" TargetMode="External"/><Relationship Id="rId25" Type="http://schemas.openxmlformats.org/officeDocument/2006/relationships/hyperlink" Target="http://www.konkoly.hu/cgi-bin/IBVS?5741" TargetMode="External"/><Relationship Id="rId3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konkoly.hu/cgi-bin/IBVS?5287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8" TargetMode="External"/><Relationship Id="rId11" Type="http://schemas.openxmlformats.org/officeDocument/2006/relationships/hyperlink" Target="http://www.konkoly.hu/cgi-bin/IBVS?4888" TargetMode="External"/><Relationship Id="rId24" Type="http://schemas.openxmlformats.org/officeDocument/2006/relationships/hyperlink" Target="http://var.astro.cz/oejv/issues/oejv0003.pdf" TargetMode="External"/><Relationship Id="rId32" Type="http://schemas.openxmlformats.org/officeDocument/2006/relationships/hyperlink" Target="http://www.bav-astro.de/sfs/BAVM_link.php?BAVMnr=214" TargetMode="External"/><Relationship Id="rId37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212" TargetMode="External"/><Relationship Id="rId36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4888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603" TargetMode="External"/><Relationship Id="rId27" Type="http://schemas.openxmlformats.org/officeDocument/2006/relationships/hyperlink" Target="http://var.astro.cz/oejv/issues/oejv0107.pdf" TargetMode="External"/><Relationship Id="rId30" Type="http://schemas.openxmlformats.org/officeDocument/2006/relationships/hyperlink" Target="http://www.bav-astro.de/sfs/BAVM_link.php?BAVMnr=212" TargetMode="External"/><Relationship Id="rId35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38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64</v>
      </c>
    </row>
    <row r="2" spans="1:6" x14ac:dyDescent="0.2">
      <c r="A2" t="s">
        <v>24</v>
      </c>
      <c r="B2" s="17" t="s">
        <v>41</v>
      </c>
    </row>
    <row r="4" spans="1:6" ht="14.25" thickTop="1" thickBot="1" x14ac:dyDescent="0.25">
      <c r="A4" s="6" t="s">
        <v>0</v>
      </c>
      <c r="C4" s="3">
        <v>40116.428999999996</v>
      </c>
      <c r="D4" s="4">
        <v>0.46625591999999999</v>
      </c>
    </row>
    <row r="5" spans="1:6" ht="13.5" thickTop="1" x14ac:dyDescent="0.2">
      <c r="A5" s="20" t="s">
        <v>44</v>
      </c>
      <c r="B5" s="21"/>
      <c r="C5" s="22">
        <v>-9.5</v>
      </c>
      <c r="D5" s="21" t="s">
        <v>45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40116.428999999996</v>
      </c>
    </row>
    <row r="8" spans="1:6" x14ac:dyDescent="0.2">
      <c r="A8" t="s">
        <v>3</v>
      </c>
      <c r="C8">
        <f>+D4</f>
        <v>0.46625591999999999</v>
      </c>
    </row>
    <row r="9" spans="1:6" x14ac:dyDescent="0.2">
      <c r="A9" s="35" t="s">
        <v>49</v>
      </c>
      <c r="B9" s="36">
        <v>38</v>
      </c>
      <c r="C9" s="34" t="str">
        <f>"F"&amp;B9</f>
        <v>F38</v>
      </c>
      <c r="D9" s="12" t="str">
        <f>"G"&amp;B9</f>
        <v>G38</v>
      </c>
    </row>
    <row r="10" spans="1:6" ht="13.5" thickBot="1" x14ac:dyDescent="0.25">
      <c r="A10" s="21"/>
      <c r="B10" s="21"/>
      <c r="C10" s="5" t="s">
        <v>20</v>
      </c>
      <c r="D10" s="5" t="s">
        <v>21</v>
      </c>
      <c r="E10" s="21"/>
    </row>
    <row r="11" spans="1:6" x14ac:dyDescent="0.2">
      <c r="A11" s="21" t="s">
        <v>16</v>
      </c>
      <c r="B11" s="21"/>
      <c r="C11" s="33">
        <f ca="1">INTERCEPT(INDIRECT($D$9):G991,INDIRECT($C$9):F991)</f>
        <v>4.1701567806282057E-2</v>
      </c>
      <c r="D11" s="15"/>
      <c r="E11" s="21"/>
    </row>
    <row r="12" spans="1:6" x14ac:dyDescent="0.2">
      <c r="A12" s="21" t="s">
        <v>17</v>
      </c>
      <c r="B12" s="21"/>
      <c r="C12" s="33">
        <f ca="1">SLOPE(INDIRECT($D$9):G991,INDIRECT($C$9):F991)</f>
        <v>-2.9241542317459188E-6</v>
      </c>
      <c r="D12" s="15"/>
      <c r="E12" s="21"/>
    </row>
    <row r="13" spans="1:6" x14ac:dyDescent="0.2">
      <c r="A13" s="21" t="s">
        <v>19</v>
      </c>
      <c r="B13" s="21"/>
      <c r="C13" s="15" t="s">
        <v>14</v>
      </c>
    </row>
    <row r="14" spans="1:6" x14ac:dyDescent="0.2">
      <c r="A14" s="21"/>
      <c r="B14" s="21"/>
      <c r="C14" s="21"/>
    </row>
    <row r="15" spans="1:6" x14ac:dyDescent="0.2">
      <c r="A15" s="23" t="s">
        <v>18</v>
      </c>
      <c r="B15" s="21"/>
      <c r="C15" s="24">
        <f ca="1">(C7+C11)+(C8+C12)*INT(MAX(F21:F3532))</f>
        <v>56491.275915671184</v>
      </c>
      <c r="E15" s="25" t="s">
        <v>60</v>
      </c>
      <c r="F15" s="22">
        <v>1</v>
      </c>
    </row>
    <row r="16" spans="1:6" x14ac:dyDescent="0.2">
      <c r="A16" s="27" t="s">
        <v>4</v>
      </c>
      <c r="B16" s="21"/>
      <c r="C16" s="28">
        <f ca="1">+C8+C12</f>
        <v>0.46625299584576824</v>
      </c>
      <c r="E16" s="25" t="s">
        <v>46</v>
      </c>
      <c r="F16" s="26">
        <f ca="1">NOW()+15018.5+$C$5/24</f>
        <v>60340.744073379625</v>
      </c>
    </row>
    <row r="17" spans="1:34" ht="13.5" thickBot="1" x14ac:dyDescent="0.25">
      <c r="A17" s="25" t="s">
        <v>43</v>
      </c>
      <c r="B17" s="21"/>
      <c r="C17" s="21">
        <f>COUNT(C21:C2190)</f>
        <v>53</v>
      </c>
      <c r="E17" s="25" t="s">
        <v>61</v>
      </c>
      <c r="F17" s="26">
        <f ca="1">ROUND(2*(F16-$C$7)/$C$8,0)/2+F15</f>
        <v>43377</v>
      </c>
    </row>
    <row r="18" spans="1:34" ht="14.25" thickTop="1" thickBot="1" x14ac:dyDescent="0.25">
      <c r="A18" s="27" t="s">
        <v>5</v>
      </c>
      <c r="B18" s="21"/>
      <c r="C18" s="30">
        <f ca="1">+C15</f>
        <v>56491.275915671184</v>
      </c>
      <c r="D18" s="31">
        <f ca="1">+C16</f>
        <v>0.46625299584576824</v>
      </c>
      <c r="E18" s="25" t="s">
        <v>47</v>
      </c>
      <c r="F18" s="12">
        <f ca="1">ROUND(2*(F16-$C$15)/$C$16,0)/2+F15</f>
        <v>8257</v>
      </c>
    </row>
    <row r="19" spans="1:34" ht="13.5" thickTop="1" x14ac:dyDescent="0.2">
      <c r="E19" s="25" t="s">
        <v>48</v>
      </c>
      <c r="F19" s="29">
        <f ca="1">+$C$15+$C$16*F18-15018.5-$C$5/24</f>
        <v>45323.022735703031</v>
      </c>
    </row>
    <row r="20" spans="1:34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72</v>
      </c>
      <c r="I20" s="8" t="s">
        <v>75</v>
      </c>
      <c r="J20" s="8" t="s">
        <v>69</v>
      </c>
      <c r="K20" s="8" t="s">
        <v>52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R20" s="5"/>
      <c r="S20" s="5"/>
      <c r="T20" s="5"/>
      <c r="U20" s="49" t="s">
        <v>63</v>
      </c>
    </row>
    <row r="21" spans="1:34" x14ac:dyDescent="0.2">
      <c r="A21" t="s">
        <v>12</v>
      </c>
      <c r="C21" s="18">
        <v>40116.428999999996</v>
      </c>
      <c r="D21" s="18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f>+C21-(C$7+F21*C$8)</f>
        <v>0</v>
      </c>
      <c r="H21">
        <f>+G21</f>
        <v>0</v>
      </c>
      <c r="O21">
        <f t="shared" ref="O21:O52" ca="1" si="2">+C$11+C$12*F21</f>
        <v>4.1701567806282057E-2</v>
      </c>
      <c r="Q21" s="2">
        <f t="shared" ref="Q21:Q52" si="3">+C21-15018.5</f>
        <v>25097.928999999996</v>
      </c>
      <c r="R21" s="2"/>
      <c r="S21" s="2"/>
      <c r="T21" s="2"/>
    </row>
    <row r="22" spans="1:34" x14ac:dyDescent="0.2">
      <c r="A22" t="s">
        <v>36</v>
      </c>
      <c r="B22" s="14" t="s">
        <v>34</v>
      </c>
      <c r="C22" s="18">
        <v>47956.591999999997</v>
      </c>
      <c r="D22" s="18"/>
      <c r="E22">
        <f t="shared" si="0"/>
        <v>16815.14949987123</v>
      </c>
      <c r="F22">
        <f t="shared" si="1"/>
        <v>16815</v>
      </c>
      <c r="O22">
        <f t="shared" ca="1" si="2"/>
        <v>-7.4680856005255661E-3</v>
      </c>
      <c r="Q22" s="2">
        <f t="shared" si="3"/>
        <v>32938.091999999997</v>
      </c>
      <c r="R22" s="2"/>
      <c r="S22" s="2"/>
      <c r="T22" s="2"/>
      <c r="U22" s="12">
        <v>6.9705200003227219E-2</v>
      </c>
      <c r="AD22">
        <v>6</v>
      </c>
      <c r="AF22" t="s">
        <v>35</v>
      </c>
      <c r="AH22" t="s">
        <v>37</v>
      </c>
    </row>
    <row r="23" spans="1:34" x14ac:dyDescent="0.2">
      <c r="A23" s="65" t="s">
        <v>81</v>
      </c>
      <c r="B23" s="66" t="s">
        <v>30</v>
      </c>
      <c r="C23" s="65">
        <v>49926.436000000002</v>
      </c>
      <c r="D23" s="65" t="s">
        <v>75</v>
      </c>
      <c r="E23">
        <f t="shared" si="0"/>
        <v>21039.962345142998</v>
      </c>
      <c r="F23">
        <f t="shared" si="1"/>
        <v>21040</v>
      </c>
      <c r="G23">
        <f t="shared" ref="G23:G42" si="4">+C23-(C$7+F23*C$8)</f>
        <v>-1.7556799997691996E-2</v>
      </c>
      <c r="I23">
        <f>+G23</f>
        <v>-1.7556799997691996E-2</v>
      </c>
      <c r="O23">
        <f t="shared" ca="1" si="2"/>
        <v>-1.9822637229652072E-2</v>
      </c>
      <c r="Q23" s="2">
        <f t="shared" si="3"/>
        <v>34907.936000000002</v>
      </c>
      <c r="R23" s="2"/>
      <c r="S23" s="2"/>
      <c r="T23" s="2"/>
    </row>
    <row r="24" spans="1:34" x14ac:dyDescent="0.2">
      <c r="A24" s="65" t="s">
        <v>81</v>
      </c>
      <c r="B24" s="66" t="s">
        <v>30</v>
      </c>
      <c r="C24" s="65">
        <v>49926.440199999997</v>
      </c>
      <c r="D24" s="65" t="s">
        <v>75</v>
      </c>
      <c r="E24">
        <f t="shared" si="0"/>
        <v>21039.971353071509</v>
      </c>
      <c r="F24">
        <f t="shared" si="1"/>
        <v>21040</v>
      </c>
      <c r="G24">
        <f t="shared" si="4"/>
        <v>-1.3356800001929514E-2</v>
      </c>
      <c r="I24">
        <f>+G24</f>
        <v>-1.3356800001929514E-2</v>
      </c>
      <c r="O24">
        <f t="shared" ca="1" si="2"/>
        <v>-1.9822637229652072E-2</v>
      </c>
      <c r="Q24" s="2">
        <f t="shared" si="3"/>
        <v>34907.940199999997</v>
      </c>
      <c r="R24" s="2"/>
      <c r="S24" s="2"/>
      <c r="T24" s="2"/>
    </row>
    <row r="25" spans="1:34" x14ac:dyDescent="0.2">
      <c r="A25" s="65" t="s">
        <v>81</v>
      </c>
      <c r="B25" s="66" t="s">
        <v>30</v>
      </c>
      <c r="C25" s="65">
        <v>49926.4499</v>
      </c>
      <c r="D25" s="65" t="s">
        <v>75</v>
      </c>
      <c r="E25">
        <f t="shared" si="0"/>
        <v>21039.992157096909</v>
      </c>
      <c r="F25">
        <f t="shared" si="1"/>
        <v>21040</v>
      </c>
      <c r="G25">
        <f t="shared" si="4"/>
        <v>-3.6567999995895661E-3</v>
      </c>
      <c r="I25">
        <f>+G25</f>
        <v>-3.6567999995895661E-3</v>
      </c>
      <c r="O25">
        <f t="shared" ca="1" si="2"/>
        <v>-1.9822637229652072E-2</v>
      </c>
      <c r="Q25" s="2">
        <f t="shared" si="3"/>
        <v>34907.9499</v>
      </c>
      <c r="R25" s="2"/>
      <c r="S25" s="2"/>
      <c r="T25" s="2"/>
    </row>
    <row r="26" spans="1:34" x14ac:dyDescent="0.2">
      <c r="A26" s="65" t="s">
        <v>81</v>
      </c>
      <c r="B26" s="66" t="s">
        <v>30</v>
      </c>
      <c r="C26" s="65">
        <v>49926.453399999999</v>
      </c>
      <c r="D26" s="65" t="s">
        <v>75</v>
      </c>
      <c r="E26">
        <f t="shared" si="0"/>
        <v>21039.999663704006</v>
      </c>
      <c r="F26">
        <f t="shared" si="1"/>
        <v>21040</v>
      </c>
      <c r="G26">
        <f t="shared" si="4"/>
        <v>-1.568000006955117E-4</v>
      </c>
      <c r="I26">
        <f>+G26</f>
        <v>-1.568000006955117E-4</v>
      </c>
      <c r="O26">
        <f t="shared" ca="1" si="2"/>
        <v>-1.9822637229652072E-2</v>
      </c>
      <c r="Q26" s="2">
        <f t="shared" si="3"/>
        <v>34907.953399999999</v>
      </c>
      <c r="R26" s="2"/>
      <c r="S26" s="2"/>
      <c r="T26" s="2"/>
    </row>
    <row r="27" spans="1:34" x14ac:dyDescent="0.2">
      <c r="A27" s="65" t="s">
        <v>81</v>
      </c>
      <c r="B27" s="66" t="s">
        <v>30</v>
      </c>
      <c r="C27" s="65">
        <v>49926.456200000001</v>
      </c>
      <c r="D27" s="65" t="s">
        <v>75</v>
      </c>
      <c r="E27">
        <f t="shared" si="0"/>
        <v>21040.005668989692</v>
      </c>
      <c r="F27">
        <f t="shared" si="1"/>
        <v>21040</v>
      </c>
      <c r="G27">
        <f t="shared" si="4"/>
        <v>2.6432000013301149E-3</v>
      </c>
      <c r="I27">
        <f>+G27</f>
        <v>2.6432000013301149E-3</v>
      </c>
      <c r="O27">
        <f t="shared" ca="1" si="2"/>
        <v>-1.9822637229652072E-2</v>
      </c>
      <c r="Q27" s="2">
        <f t="shared" si="3"/>
        <v>34907.956200000001</v>
      </c>
      <c r="R27" s="2"/>
      <c r="S27" s="2"/>
      <c r="T27" s="2"/>
    </row>
    <row r="28" spans="1:34" x14ac:dyDescent="0.2">
      <c r="A28" t="s">
        <v>31</v>
      </c>
      <c r="B28" s="10"/>
      <c r="C28" s="18">
        <v>49987.505599999997</v>
      </c>
      <c r="D28" s="18">
        <v>2.3999999999999998E-3</v>
      </c>
      <c r="E28">
        <f t="shared" si="0"/>
        <v>21170.941057434724</v>
      </c>
      <c r="F28">
        <f t="shared" si="1"/>
        <v>21171</v>
      </c>
      <c r="G28">
        <f t="shared" si="4"/>
        <v>-2.7482320001581684E-2</v>
      </c>
      <c r="K28">
        <f t="shared" ref="K28:K42" si="5">+G28</f>
        <v>-2.7482320001581684E-2</v>
      </c>
      <c r="O28">
        <f t="shared" ca="1" si="2"/>
        <v>-2.0205701434010792E-2</v>
      </c>
      <c r="Q28" s="2">
        <f t="shared" si="3"/>
        <v>34969.005599999997</v>
      </c>
      <c r="R28" s="2"/>
      <c r="S28" s="2"/>
      <c r="T28" s="2"/>
    </row>
    <row r="29" spans="1:34" x14ac:dyDescent="0.2">
      <c r="A29" s="32" t="s">
        <v>31</v>
      </c>
      <c r="B29" s="15"/>
      <c r="C29" s="10">
        <v>49987.505599999997</v>
      </c>
      <c r="D29" s="10">
        <v>2.3999999999999998E-3</v>
      </c>
      <c r="E29">
        <f t="shared" si="0"/>
        <v>21170.941057434724</v>
      </c>
      <c r="F29">
        <f t="shared" si="1"/>
        <v>21171</v>
      </c>
      <c r="G29">
        <f t="shared" si="4"/>
        <v>-2.7482320001581684E-2</v>
      </c>
      <c r="K29">
        <f t="shared" si="5"/>
        <v>-2.7482320001581684E-2</v>
      </c>
      <c r="O29">
        <f t="shared" ca="1" si="2"/>
        <v>-2.0205701434010792E-2</v>
      </c>
      <c r="Q29" s="2">
        <f t="shared" si="3"/>
        <v>34969.005599999997</v>
      </c>
      <c r="R29" s="2"/>
      <c r="S29" s="2"/>
      <c r="T29" s="2"/>
    </row>
    <row r="30" spans="1:34" x14ac:dyDescent="0.2">
      <c r="A30" t="s">
        <v>39</v>
      </c>
      <c r="C30" s="18">
        <v>50053.254399999998</v>
      </c>
      <c r="D30" s="18">
        <v>1.6000000000000001E-3</v>
      </c>
      <c r="E30">
        <f t="shared" si="0"/>
        <v>21311.955459997167</v>
      </c>
      <c r="F30">
        <f t="shared" si="1"/>
        <v>21312</v>
      </c>
      <c r="G30">
        <f t="shared" si="4"/>
        <v>-2.0767039997735992E-2</v>
      </c>
      <c r="K30">
        <f t="shared" si="5"/>
        <v>-2.0767039997735992E-2</v>
      </c>
      <c r="O30">
        <f t="shared" ca="1" si="2"/>
        <v>-2.0618007180686966E-2</v>
      </c>
      <c r="Q30" s="2">
        <f t="shared" si="3"/>
        <v>35034.754399999998</v>
      </c>
      <c r="R30" s="2"/>
      <c r="S30" s="2"/>
      <c r="T30" s="2"/>
      <c r="AD30">
        <v>15</v>
      </c>
      <c r="AF30" t="s">
        <v>38</v>
      </c>
      <c r="AH30" t="s">
        <v>37</v>
      </c>
    </row>
    <row r="31" spans="1:34" x14ac:dyDescent="0.2">
      <c r="A31" t="s">
        <v>31</v>
      </c>
      <c r="B31" s="9"/>
      <c r="C31" s="18">
        <v>50604.3658</v>
      </c>
      <c r="D31" s="18">
        <v>2.0999999999999999E-3</v>
      </c>
      <c r="E31">
        <f t="shared" si="0"/>
        <v>22493.948816778571</v>
      </c>
      <c r="F31">
        <f t="shared" si="1"/>
        <v>22494</v>
      </c>
      <c r="G31">
        <f t="shared" si="4"/>
        <v>-2.3864479997428134E-2</v>
      </c>
      <c r="K31">
        <f t="shared" si="5"/>
        <v>-2.3864479997428134E-2</v>
      </c>
      <c r="O31">
        <f t="shared" ca="1" si="2"/>
        <v>-2.4074357482610644E-2</v>
      </c>
      <c r="Q31" s="2">
        <f t="shared" si="3"/>
        <v>35585.8658</v>
      </c>
      <c r="R31" s="2"/>
      <c r="S31" s="2"/>
      <c r="T31" s="2"/>
    </row>
    <row r="32" spans="1:34" x14ac:dyDescent="0.2">
      <c r="A32" s="32" t="s">
        <v>31</v>
      </c>
      <c r="B32" s="15"/>
      <c r="C32" s="10">
        <v>50604.3658</v>
      </c>
      <c r="D32" s="10">
        <v>2.0999999999999999E-3</v>
      </c>
      <c r="E32">
        <f t="shared" si="0"/>
        <v>22493.948816778571</v>
      </c>
      <c r="F32">
        <f t="shared" si="1"/>
        <v>22494</v>
      </c>
      <c r="G32">
        <f t="shared" si="4"/>
        <v>-2.3864479997428134E-2</v>
      </c>
      <c r="K32">
        <f t="shared" si="5"/>
        <v>-2.3864479997428134E-2</v>
      </c>
      <c r="O32">
        <f t="shared" ca="1" si="2"/>
        <v>-2.4074357482610644E-2</v>
      </c>
      <c r="Q32" s="2">
        <f t="shared" si="3"/>
        <v>35585.8658</v>
      </c>
      <c r="R32" s="2"/>
      <c r="S32" s="2"/>
      <c r="T32" s="2"/>
    </row>
    <row r="33" spans="1:21" x14ac:dyDescent="0.2">
      <c r="A33" t="s">
        <v>31</v>
      </c>
      <c r="B33" s="9"/>
      <c r="C33" s="18">
        <v>50624.413500000002</v>
      </c>
      <c r="D33" s="18">
        <v>1.4E-3</v>
      </c>
      <c r="E33">
        <f t="shared" si="0"/>
        <v>22536.946018830185</v>
      </c>
      <c r="F33">
        <f t="shared" si="1"/>
        <v>22537</v>
      </c>
      <c r="G33">
        <f t="shared" si="4"/>
        <v>-2.5169039996399079E-2</v>
      </c>
      <c r="K33">
        <f t="shared" si="5"/>
        <v>-2.5169039996399079E-2</v>
      </c>
      <c r="O33">
        <f t="shared" ca="1" si="2"/>
        <v>-2.4200096114575721E-2</v>
      </c>
      <c r="Q33" s="2">
        <f t="shared" si="3"/>
        <v>35605.913500000002</v>
      </c>
      <c r="R33" s="2"/>
      <c r="S33" s="2"/>
      <c r="T33" s="2"/>
    </row>
    <row r="34" spans="1:21" x14ac:dyDescent="0.2">
      <c r="A34" s="32" t="s">
        <v>31</v>
      </c>
      <c r="B34" s="15"/>
      <c r="C34" s="10">
        <v>50624.413500000002</v>
      </c>
      <c r="D34" s="10">
        <v>1.4E-3</v>
      </c>
      <c r="E34">
        <f t="shared" si="0"/>
        <v>22536.946018830185</v>
      </c>
      <c r="F34">
        <f t="shared" si="1"/>
        <v>22537</v>
      </c>
      <c r="G34">
        <f t="shared" si="4"/>
        <v>-2.5169039996399079E-2</v>
      </c>
      <c r="K34">
        <f t="shared" si="5"/>
        <v>-2.5169039996399079E-2</v>
      </c>
      <c r="O34">
        <f t="shared" ca="1" si="2"/>
        <v>-2.4200096114575721E-2</v>
      </c>
      <c r="Q34" s="2">
        <f t="shared" si="3"/>
        <v>35605.913500000002</v>
      </c>
      <c r="R34" s="2"/>
      <c r="S34" s="2"/>
      <c r="T34" s="2"/>
    </row>
    <row r="35" spans="1:21" x14ac:dyDescent="0.2">
      <c r="A35" t="s">
        <v>31</v>
      </c>
      <c r="B35" s="9"/>
      <c r="C35" s="18">
        <v>50658.450700000001</v>
      </c>
      <c r="D35" s="18">
        <v>2.0999999999999999E-3</v>
      </c>
      <c r="E35">
        <f t="shared" si="0"/>
        <v>22609.947129464876</v>
      </c>
      <c r="F35">
        <f t="shared" si="1"/>
        <v>22610</v>
      </c>
      <c r="G35">
        <f t="shared" si="4"/>
        <v>-2.4651199993968476E-2</v>
      </c>
      <c r="K35">
        <f t="shared" si="5"/>
        <v>-2.4651199993968476E-2</v>
      </c>
      <c r="O35">
        <f t="shared" ca="1" si="2"/>
        <v>-2.4413559373493161E-2</v>
      </c>
      <c r="Q35" s="2">
        <f t="shared" si="3"/>
        <v>35639.950700000001</v>
      </c>
      <c r="R35" s="2"/>
      <c r="S35" s="2"/>
      <c r="T35" s="2"/>
    </row>
    <row r="36" spans="1:21" x14ac:dyDescent="0.2">
      <c r="A36" s="32" t="s">
        <v>31</v>
      </c>
      <c r="B36" s="15"/>
      <c r="C36" s="10">
        <v>50658.450700000001</v>
      </c>
      <c r="D36" s="10">
        <v>2.0999999999999999E-3</v>
      </c>
      <c r="E36">
        <f t="shared" si="0"/>
        <v>22609.947129464876</v>
      </c>
      <c r="F36">
        <f t="shared" si="1"/>
        <v>22610</v>
      </c>
      <c r="G36">
        <f t="shared" si="4"/>
        <v>-2.4651199993968476E-2</v>
      </c>
      <c r="K36">
        <f t="shared" si="5"/>
        <v>-2.4651199993968476E-2</v>
      </c>
      <c r="O36">
        <f t="shared" ca="1" si="2"/>
        <v>-2.4413559373493161E-2</v>
      </c>
      <c r="Q36" s="2">
        <f t="shared" si="3"/>
        <v>35639.950700000001</v>
      </c>
      <c r="R36" s="2"/>
      <c r="S36" s="2"/>
      <c r="T36" s="2"/>
    </row>
    <row r="37" spans="1:21" x14ac:dyDescent="0.2">
      <c r="A37" t="s">
        <v>31</v>
      </c>
      <c r="B37" s="9"/>
      <c r="C37" s="18">
        <v>50671.507400000002</v>
      </c>
      <c r="D37" s="18">
        <v>2.0999999999999999E-3</v>
      </c>
      <c r="E37">
        <f t="shared" si="0"/>
        <v>22637.950420018271</v>
      </c>
      <c r="F37">
        <f t="shared" si="1"/>
        <v>22638</v>
      </c>
      <c r="G37">
        <f t="shared" si="4"/>
        <v>-2.3116959993785713E-2</v>
      </c>
      <c r="K37">
        <f t="shared" si="5"/>
        <v>-2.3116959993785713E-2</v>
      </c>
      <c r="O37">
        <f t="shared" ca="1" si="2"/>
        <v>-2.4495435691982058E-2</v>
      </c>
      <c r="Q37" s="2">
        <f t="shared" si="3"/>
        <v>35653.007400000002</v>
      </c>
      <c r="R37" s="2"/>
      <c r="S37" s="2"/>
      <c r="T37" s="2"/>
    </row>
    <row r="38" spans="1:21" x14ac:dyDescent="0.2">
      <c r="A38" s="32" t="s">
        <v>31</v>
      </c>
      <c r="B38" s="15"/>
      <c r="C38" s="10">
        <v>50671.507400000002</v>
      </c>
      <c r="D38" s="10">
        <v>2.0999999999999999E-3</v>
      </c>
      <c r="E38">
        <f t="shared" si="0"/>
        <v>22637.950420018271</v>
      </c>
      <c r="F38">
        <f t="shared" si="1"/>
        <v>22638</v>
      </c>
      <c r="G38">
        <f t="shared" si="4"/>
        <v>-2.3116959993785713E-2</v>
      </c>
      <c r="K38">
        <f t="shared" si="5"/>
        <v>-2.3116959993785713E-2</v>
      </c>
      <c r="O38">
        <f t="shared" ca="1" si="2"/>
        <v>-2.4495435691982058E-2</v>
      </c>
      <c r="Q38" s="2">
        <f t="shared" si="3"/>
        <v>35653.007400000002</v>
      </c>
      <c r="R38" s="2"/>
      <c r="S38" s="2"/>
      <c r="T38" s="2"/>
    </row>
    <row r="39" spans="1:21" x14ac:dyDescent="0.2">
      <c r="A39" t="s">
        <v>31</v>
      </c>
      <c r="B39" s="9"/>
      <c r="C39" s="18">
        <v>50693.416100000002</v>
      </c>
      <c r="D39" s="18">
        <v>1.4E-3</v>
      </c>
      <c r="E39">
        <f t="shared" si="0"/>
        <v>22684.938992302781</v>
      </c>
      <c r="F39">
        <f t="shared" si="1"/>
        <v>22685</v>
      </c>
      <c r="G39">
        <f t="shared" si="4"/>
        <v>-2.8445199990528636E-2</v>
      </c>
      <c r="K39">
        <f t="shared" si="5"/>
        <v>-2.8445199990528636E-2</v>
      </c>
      <c r="O39">
        <f t="shared" ca="1" si="2"/>
        <v>-2.4632870940874109E-2</v>
      </c>
      <c r="Q39" s="2">
        <f t="shared" si="3"/>
        <v>35674.916100000002</v>
      </c>
      <c r="R39" s="2"/>
      <c r="S39" s="2"/>
      <c r="T39" s="2"/>
    </row>
    <row r="40" spans="1:21" x14ac:dyDescent="0.2">
      <c r="A40" s="32" t="s">
        <v>31</v>
      </c>
      <c r="B40" s="15"/>
      <c r="C40" s="10">
        <v>50693.416100000002</v>
      </c>
      <c r="D40" s="10">
        <v>1.4E-3</v>
      </c>
      <c r="E40">
        <f t="shared" si="0"/>
        <v>22684.938992302781</v>
      </c>
      <c r="F40">
        <f t="shared" si="1"/>
        <v>22685</v>
      </c>
      <c r="G40">
        <f t="shared" si="4"/>
        <v>-2.8445199990528636E-2</v>
      </c>
      <c r="K40">
        <f t="shared" si="5"/>
        <v>-2.8445199990528636E-2</v>
      </c>
      <c r="O40">
        <f t="shared" ca="1" si="2"/>
        <v>-2.4632870940874109E-2</v>
      </c>
      <c r="Q40" s="2">
        <f t="shared" si="3"/>
        <v>35674.916100000002</v>
      </c>
      <c r="R40" s="2"/>
      <c r="S40" s="2"/>
      <c r="T40" s="2"/>
    </row>
    <row r="41" spans="1:21" x14ac:dyDescent="0.2">
      <c r="A41" t="s">
        <v>32</v>
      </c>
      <c r="B41" s="10"/>
      <c r="C41" s="18">
        <v>50947.529900000001</v>
      </c>
      <c r="D41" s="18">
        <v>6.6E-3</v>
      </c>
      <c r="E41">
        <f t="shared" si="0"/>
        <v>23229.948265321767</v>
      </c>
      <c r="F41">
        <f t="shared" si="1"/>
        <v>23230</v>
      </c>
      <c r="G41">
        <f t="shared" si="4"/>
        <v>-2.4121599992213305E-2</v>
      </c>
      <c r="K41">
        <f t="shared" si="5"/>
        <v>-2.4121599992213305E-2</v>
      </c>
      <c r="O41">
        <f t="shared" ca="1" si="2"/>
        <v>-2.6226534997175636E-2</v>
      </c>
      <c r="Q41" s="2">
        <f t="shared" si="3"/>
        <v>35929.029900000001</v>
      </c>
      <c r="R41" s="2"/>
      <c r="S41" s="2"/>
      <c r="T41" s="2"/>
    </row>
    <row r="42" spans="1:21" x14ac:dyDescent="0.2">
      <c r="A42" t="s">
        <v>32</v>
      </c>
      <c r="B42" s="9"/>
      <c r="C42" s="18">
        <v>50961.5147</v>
      </c>
      <c r="D42" s="18">
        <v>2E-3</v>
      </c>
      <c r="E42">
        <f t="shared" si="0"/>
        <v>23259.94209360388</v>
      </c>
      <c r="F42">
        <f t="shared" si="1"/>
        <v>23260</v>
      </c>
      <c r="G42">
        <f t="shared" si="4"/>
        <v>-2.699919999577105E-2</v>
      </c>
      <c r="K42">
        <f t="shared" si="5"/>
        <v>-2.699919999577105E-2</v>
      </c>
      <c r="O42">
        <f t="shared" ca="1" si="2"/>
        <v>-2.6314259624128013E-2</v>
      </c>
      <c r="Q42" s="2">
        <f t="shared" si="3"/>
        <v>35943.0147</v>
      </c>
      <c r="R42" s="2"/>
      <c r="S42" s="2"/>
      <c r="T42" s="2"/>
    </row>
    <row r="43" spans="1:21" x14ac:dyDescent="0.2">
      <c r="A43" t="s">
        <v>32</v>
      </c>
      <c r="B43" s="13" t="s">
        <v>34</v>
      </c>
      <c r="C43" s="18">
        <v>51040.34</v>
      </c>
      <c r="D43" s="18">
        <v>1.4E-3</v>
      </c>
      <c r="E43">
        <f t="shared" si="0"/>
        <v>23429.002252668448</v>
      </c>
      <c r="F43">
        <f t="shared" si="1"/>
        <v>23429</v>
      </c>
      <c r="O43">
        <f t="shared" ca="1" si="2"/>
        <v>-2.6808441689293076E-2</v>
      </c>
      <c r="Q43" s="2">
        <f t="shared" si="3"/>
        <v>36021.839999999997</v>
      </c>
      <c r="R43" s="2"/>
      <c r="S43" s="2"/>
      <c r="T43" s="2"/>
      <c r="U43" s="12">
        <v>1.05032000283245E-3</v>
      </c>
    </row>
    <row r="44" spans="1:21" x14ac:dyDescent="0.2">
      <c r="A44" t="s">
        <v>32</v>
      </c>
      <c r="B44" s="9" t="s">
        <v>33</v>
      </c>
      <c r="C44" s="18">
        <v>51040.554700000001</v>
      </c>
      <c r="D44" s="18">
        <v>1.6999999999999999E-3</v>
      </c>
      <c r="E44">
        <f t="shared" si="0"/>
        <v>23429.462729395487</v>
      </c>
      <c r="F44">
        <f t="shared" si="1"/>
        <v>23429.5</v>
      </c>
      <c r="G44">
        <f t="shared" ref="G44:G66" si="6">+C44-(C$7+F44*C$8)</f>
        <v>-1.7377639996993821E-2</v>
      </c>
      <c r="K44">
        <f t="shared" ref="K44:K59" si="7">+G44</f>
        <v>-1.7377639996993821E-2</v>
      </c>
      <c r="O44">
        <f t="shared" ca="1" si="2"/>
        <v>-2.6809903766408953E-2</v>
      </c>
      <c r="Q44" s="2">
        <f t="shared" si="3"/>
        <v>36022.054700000001</v>
      </c>
      <c r="R44" s="2"/>
      <c r="S44" s="2"/>
      <c r="T44" s="2"/>
    </row>
    <row r="45" spans="1:21" x14ac:dyDescent="0.2">
      <c r="A45" t="s">
        <v>32</v>
      </c>
      <c r="B45" s="9"/>
      <c r="C45" s="18">
        <v>51045.441599999998</v>
      </c>
      <c r="D45" s="18">
        <v>7.1000000000000004E-3</v>
      </c>
      <c r="E45">
        <f t="shared" si="0"/>
        <v>23439.94388317901</v>
      </c>
      <c r="F45">
        <f t="shared" si="1"/>
        <v>23440</v>
      </c>
      <c r="G45">
        <f t="shared" si="6"/>
        <v>-2.616479999414878E-2</v>
      </c>
      <c r="K45">
        <f t="shared" si="7"/>
        <v>-2.616479999414878E-2</v>
      </c>
      <c r="O45">
        <f t="shared" ca="1" si="2"/>
        <v>-2.6840607385842284E-2</v>
      </c>
      <c r="Q45" s="2">
        <f t="shared" si="3"/>
        <v>36026.941599999998</v>
      </c>
      <c r="R45" s="2"/>
      <c r="S45" s="2"/>
      <c r="T45" s="2"/>
    </row>
    <row r="46" spans="1:21" x14ac:dyDescent="0.2">
      <c r="A46" t="s">
        <v>32</v>
      </c>
      <c r="B46" s="9"/>
      <c r="C46" s="18">
        <v>51081.342400000001</v>
      </c>
      <c r="D46" s="18">
        <v>1.8E-3</v>
      </c>
      <c r="E46">
        <f t="shared" si="0"/>
        <v>23516.941940383309</v>
      </c>
      <c r="F46">
        <f t="shared" si="1"/>
        <v>23517</v>
      </c>
      <c r="G46">
        <f t="shared" si="6"/>
        <v>-2.7070639996964019E-2</v>
      </c>
      <c r="K46">
        <f t="shared" si="7"/>
        <v>-2.7070639996964019E-2</v>
      </c>
      <c r="O46">
        <f t="shared" ca="1" si="2"/>
        <v>-2.7065767261686711E-2</v>
      </c>
      <c r="Q46" s="2">
        <f t="shared" si="3"/>
        <v>36062.842400000001</v>
      </c>
      <c r="R46" s="2"/>
      <c r="S46" s="2"/>
      <c r="T46" s="2"/>
    </row>
    <row r="47" spans="1:21" x14ac:dyDescent="0.2">
      <c r="A47" t="s">
        <v>28</v>
      </c>
      <c r="C47" s="19">
        <v>51404.455900000001</v>
      </c>
      <c r="D47" s="19">
        <v>2.5000000000000001E-3</v>
      </c>
      <c r="E47">
        <f t="shared" si="0"/>
        <v>24209.937967114722</v>
      </c>
      <c r="F47">
        <f t="shared" si="1"/>
        <v>24210</v>
      </c>
      <c r="G47">
        <f t="shared" si="6"/>
        <v>-2.8923199992277659E-2</v>
      </c>
      <c r="K47">
        <f t="shared" si="7"/>
        <v>-2.8923199992277659E-2</v>
      </c>
      <c r="O47">
        <f t="shared" ca="1" si="2"/>
        <v>-2.9092206144286641E-2</v>
      </c>
      <c r="Q47" s="2">
        <f t="shared" si="3"/>
        <v>36385.955900000001</v>
      </c>
      <c r="R47" s="2"/>
      <c r="S47" s="2"/>
      <c r="T47" s="2"/>
    </row>
    <row r="48" spans="1:21" x14ac:dyDescent="0.2">
      <c r="A48" t="s">
        <v>29</v>
      </c>
      <c r="B48" s="11" t="s">
        <v>30</v>
      </c>
      <c r="C48" s="19">
        <v>51721.508500000004</v>
      </c>
      <c r="D48" s="19">
        <v>1.5E-3</v>
      </c>
      <c r="E48">
        <f t="shared" si="0"/>
        <v>24889.934909566418</v>
      </c>
      <c r="F48">
        <f t="shared" si="1"/>
        <v>24890</v>
      </c>
      <c r="G48">
        <f t="shared" si="6"/>
        <v>-3.0348799991770647E-2</v>
      </c>
      <c r="K48">
        <f t="shared" si="7"/>
        <v>-3.0348799991770647E-2</v>
      </c>
      <c r="O48">
        <f t="shared" ca="1" si="2"/>
        <v>-3.1080631021873868E-2</v>
      </c>
      <c r="Q48" s="2">
        <f t="shared" si="3"/>
        <v>36703.008500000004</v>
      </c>
      <c r="R48" s="2"/>
      <c r="S48" s="2"/>
      <c r="T48" s="2"/>
    </row>
    <row r="49" spans="1:20" x14ac:dyDescent="0.2">
      <c r="A49" s="43" t="s">
        <v>51</v>
      </c>
      <c r="B49" s="44" t="s">
        <v>30</v>
      </c>
      <c r="C49" s="43">
        <v>51757.409099999997</v>
      </c>
      <c r="D49" s="43" t="s">
        <v>52</v>
      </c>
      <c r="E49" s="41">
        <f t="shared" si="0"/>
        <v>24966.932537821722</v>
      </c>
      <c r="F49">
        <f t="shared" si="1"/>
        <v>24967</v>
      </c>
      <c r="G49">
        <f t="shared" si="6"/>
        <v>-3.1454639996809419E-2</v>
      </c>
      <c r="K49">
        <f t="shared" si="7"/>
        <v>-3.1454639996809419E-2</v>
      </c>
      <c r="O49">
        <f t="shared" ca="1" si="2"/>
        <v>-3.1305790897718296E-2</v>
      </c>
      <c r="Q49" s="2">
        <f t="shared" si="3"/>
        <v>36738.909099999997</v>
      </c>
      <c r="R49" s="2"/>
      <c r="S49" s="2"/>
      <c r="T49" s="2"/>
    </row>
    <row r="50" spans="1:20" x14ac:dyDescent="0.2">
      <c r="A50" s="43" t="s">
        <v>51</v>
      </c>
      <c r="B50" s="44" t="s">
        <v>30</v>
      </c>
      <c r="C50" s="43">
        <v>51764.403100000003</v>
      </c>
      <c r="D50" s="43" t="s">
        <v>52</v>
      </c>
      <c r="E50" s="41">
        <f t="shared" si="0"/>
        <v>24981.932883554608</v>
      </c>
      <c r="F50">
        <f t="shared" si="1"/>
        <v>24982</v>
      </c>
      <c r="G50">
        <f t="shared" si="6"/>
        <v>-3.1293439991713967E-2</v>
      </c>
      <c r="K50">
        <f t="shared" si="7"/>
        <v>-3.1293439991713967E-2</v>
      </c>
      <c r="O50">
        <f t="shared" ca="1" si="2"/>
        <v>-3.1349653211194491E-2</v>
      </c>
      <c r="Q50" s="2">
        <f t="shared" si="3"/>
        <v>36745.903100000003</v>
      </c>
      <c r="R50" s="2"/>
      <c r="S50" s="2"/>
      <c r="T50" s="2"/>
    </row>
    <row r="51" spans="1:20" x14ac:dyDescent="0.2">
      <c r="A51" t="s">
        <v>29</v>
      </c>
      <c r="B51" s="11" t="s">
        <v>30</v>
      </c>
      <c r="C51" s="19">
        <v>51776.524599999997</v>
      </c>
      <c r="D51" s="19">
        <v>2.8E-3</v>
      </c>
      <c r="E51">
        <f t="shared" si="0"/>
        <v>25007.930408690576</v>
      </c>
      <c r="F51">
        <f t="shared" si="1"/>
        <v>25008</v>
      </c>
      <c r="G51">
        <f t="shared" si="6"/>
        <v>-3.2447359997604508E-2</v>
      </c>
      <c r="K51">
        <f t="shared" si="7"/>
        <v>-3.2447359997604508E-2</v>
      </c>
      <c r="O51">
        <f t="shared" ca="1" si="2"/>
        <v>-3.142568122121988E-2</v>
      </c>
      <c r="Q51" s="2">
        <f t="shared" si="3"/>
        <v>36758.024599999997</v>
      </c>
      <c r="R51" s="2"/>
      <c r="S51" s="2"/>
      <c r="T51" s="2"/>
    </row>
    <row r="52" spans="1:20" x14ac:dyDescent="0.2">
      <c r="A52" t="s">
        <v>29</v>
      </c>
      <c r="B52" s="11" t="s">
        <v>30</v>
      </c>
      <c r="C52" s="19">
        <v>51778.3897</v>
      </c>
      <c r="D52" s="19">
        <v>2.3E-3</v>
      </c>
      <c r="E52">
        <f t="shared" si="0"/>
        <v>25011.930572377511</v>
      </c>
      <c r="F52">
        <f t="shared" si="1"/>
        <v>25012</v>
      </c>
      <c r="G52">
        <f t="shared" si="6"/>
        <v>-3.2371039997087792E-2</v>
      </c>
      <c r="K52">
        <f t="shared" si="7"/>
        <v>-3.2371039997087792E-2</v>
      </c>
      <c r="O52">
        <f t="shared" ca="1" si="2"/>
        <v>-3.1437377838146867E-2</v>
      </c>
      <c r="Q52" s="2">
        <f t="shared" si="3"/>
        <v>36759.8897</v>
      </c>
      <c r="R52" s="2"/>
      <c r="S52" s="2"/>
      <c r="T52" s="2"/>
    </row>
    <row r="53" spans="1:20" x14ac:dyDescent="0.2">
      <c r="A53" t="s">
        <v>29</v>
      </c>
      <c r="B53" s="11" t="s">
        <v>30</v>
      </c>
      <c r="C53" s="19">
        <v>51841.335899999998</v>
      </c>
      <c r="D53" s="19">
        <v>4.5999999999999999E-3</v>
      </c>
      <c r="E53">
        <f t="shared" ref="E53:E73" si="8">+(C53-C$7)/C$8</f>
        <v>25146.934112922369</v>
      </c>
      <c r="F53">
        <f t="shared" ref="F53:F73" si="9">ROUND(2*E53,0)/2</f>
        <v>25147</v>
      </c>
      <c r="G53">
        <f t="shared" si="6"/>
        <v>-3.0720239999936894E-2</v>
      </c>
      <c r="K53">
        <f t="shared" si="7"/>
        <v>-3.0720239999936894E-2</v>
      </c>
      <c r="O53">
        <f t="shared" ref="O53:O73" ca="1" si="10">+C$11+C$12*F53</f>
        <v>-3.1832138659432567E-2</v>
      </c>
      <c r="Q53" s="2">
        <f t="shared" ref="Q53:Q73" si="11">+C53-15018.5</f>
        <v>36822.835899999998</v>
      </c>
      <c r="R53" s="2"/>
      <c r="S53" s="2"/>
      <c r="T53" s="2"/>
    </row>
    <row r="54" spans="1:20" x14ac:dyDescent="0.2">
      <c r="A54" s="43" t="s">
        <v>51</v>
      </c>
      <c r="B54" s="44" t="s">
        <v>30</v>
      </c>
      <c r="C54" s="43">
        <v>52122.483399999997</v>
      </c>
      <c r="D54" s="43" t="s">
        <v>52</v>
      </c>
      <c r="E54" s="41">
        <f t="shared" si="8"/>
        <v>25749.923775766754</v>
      </c>
      <c r="F54">
        <f t="shared" si="9"/>
        <v>25750</v>
      </c>
      <c r="G54">
        <f t="shared" si="6"/>
        <v>-3.553999999712687E-2</v>
      </c>
      <c r="K54">
        <f t="shared" si="7"/>
        <v>-3.553999999712687E-2</v>
      </c>
      <c r="O54">
        <f t="shared" ca="1" si="10"/>
        <v>-3.3595403661175353E-2</v>
      </c>
      <c r="Q54" s="2">
        <f t="shared" si="11"/>
        <v>37103.983399999997</v>
      </c>
      <c r="R54" s="2"/>
      <c r="S54" s="2"/>
      <c r="T54" s="2"/>
    </row>
    <row r="55" spans="1:20" x14ac:dyDescent="0.2">
      <c r="A55" s="43" t="s">
        <v>51</v>
      </c>
      <c r="B55" s="44" t="s">
        <v>30</v>
      </c>
      <c r="C55" s="43">
        <v>52137.407200000001</v>
      </c>
      <c r="D55" s="43">
        <v>2.3E-3</v>
      </c>
      <c r="E55" s="41">
        <f t="shared" si="8"/>
        <v>25781.931519496859</v>
      </c>
      <c r="F55">
        <f t="shared" si="9"/>
        <v>25782</v>
      </c>
      <c r="G55">
        <f t="shared" si="6"/>
        <v>-3.1929439996019937E-2</v>
      </c>
      <c r="K55">
        <f t="shared" si="7"/>
        <v>-3.1929439996019937E-2</v>
      </c>
      <c r="O55">
        <f t="shared" ca="1" si="10"/>
        <v>-3.3688976596591223E-2</v>
      </c>
      <c r="Q55" s="2">
        <f t="shared" si="11"/>
        <v>37118.907200000001</v>
      </c>
      <c r="R55" s="2"/>
      <c r="S55" s="2"/>
      <c r="T55" s="2"/>
    </row>
    <row r="56" spans="1:20" x14ac:dyDescent="0.2">
      <c r="A56" s="43" t="s">
        <v>51</v>
      </c>
      <c r="B56" s="44" t="s">
        <v>30</v>
      </c>
      <c r="C56" s="43">
        <v>52488.491099999999</v>
      </c>
      <c r="D56" s="43" t="s">
        <v>52</v>
      </c>
      <c r="E56" s="41">
        <f t="shared" si="8"/>
        <v>26534.916918588409</v>
      </c>
      <c r="F56">
        <f t="shared" si="9"/>
        <v>26535</v>
      </c>
      <c r="G56">
        <f t="shared" si="6"/>
        <v>-3.8737199996830896E-2</v>
      </c>
      <c r="K56">
        <f t="shared" si="7"/>
        <v>-3.8737199996830896E-2</v>
      </c>
      <c r="O56">
        <f t="shared" ca="1" si="10"/>
        <v>-3.5890864733095905E-2</v>
      </c>
      <c r="Q56" s="2">
        <f t="shared" si="11"/>
        <v>37469.991099999999</v>
      </c>
      <c r="R56" s="2"/>
      <c r="S56" s="2"/>
      <c r="T56" s="2"/>
    </row>
    <row r="57" spans="1:20" x14ac:dyDescent="0.2">
      <c r="A57" s="32" t="s">
        <v>50</v>
      </c>
      <c r="B57" s="37" t="s">
        <v>30</v>
      </c>
      <c r="C57" s="38">
        <v>53139.849099999999</v>
      </c>
      <c r="D57" s="39">
        <v>4.0000000000000002E-4</v>
      </c>
      <c r="E57">
        <f t="shared" si="8"/>
        <v>27931.913658061443</v>
      </c>
      <c r="F57">
        <f t="shared" si="9"/>
        <v>27932</v>
      </c>
      <c r="G57">
        <f t="shared" si="6"/>
        <v>-4.0257439999550115E-2</v>
      </c>
      <c r="K57">
        <f t="shared" si="7"/>
        <v>-4.0257439999550115E-2</v>
      </c>
      <c r="O57">
        <f t="shared" ca="1" si="10"/>
        <v>-3.9975908194844943E-2</v>
      </c>
      <c r="Q57" s="2">
        <f t="shared" si="11"/>
        <v>38121.349099999999</v>
      </c>
      <c r="R57" s="2"/>
      <c r="S57" s="2"/>
      <c r="T57" s="2"/>
    </row>
    <row r="58" spans="1:20" x14ac:dyDescent="0.2">
      <c r="A58" s="16" t="s">
        <v>40</v>
      </c>
      <c r="B58" s="40" t="s">
        <v>30</v>
      </c>
      <c r="C58" s="32">
        <v>53179.483999999997</v>
      </c>
      <c r="D58" s="39">
        <v>3.0000000000000001E-3</v>
      </c>
      <c r="E58" s="41">
        <f t="shared" si="8"/>
        <v>28016.920407144644</v>
      </c>
      <c r="F58">
        <f t="shared" si="9"/>
        <v>28017</v>
      </c>
      <c r="G58">
        <f t="shared" si="6"/>
        <v>-3.7110639997990802E-2</v>
      </c>
      <c r="K58">
        <f t="shared" si="7"/>
        <v>-3.7110639997990802E-2</v>
      </c>
      <c r="O58">
        <f t="shared" ca="1" si="10"/>
        <v>-4.0224461304543345E-2</v>
      </c>
      <c r="Q58" s="2">
        <f t="shared" si="11"/>
        <v>38160.983999999997</v>
      </c>
      <c r="R58" s="2"/>
      <c r="S58" s="2"/>
      <c r="T58" s="2"/>
    </row>
    <row r="59" spans="1:20" x14ac:dyDescent="0.2">
      <c r="A59" s="43" t="s">
        <v>51</v>
      </c>
      <c r="B59" s="44" t="s">
        <v>30</v>
      </c>
      <c r="C59" s="43">
        <v>53227.505250000002</v>
      </c>
      <c r="D59" s="43" t="s">
        <v>53</v>
      </c>
      <c r="E59" s="41">
        <f t="shared" si="8"/>
        <v>28119.913737502797</v>
      </c>
      <c r="F59">
        <f t="shared" si="9"/>
        <v>28120</v>
      </c>
      <c r="G59">
        <f t="shared" si="6"/>
        <v>-4.0220399998361245E-2</v>
      </c>
      <c r="K59">
        <f t="shared" si="7"/>
        <v>-4.0220399998361245E-2</v>
      </c>
      <c r="O59">
        <f t="shared" ca="1" si="10"/>
        <v>-4.0525649190413175E-2</v>
      </c>
      <c r="Q59" s="2">
        <f t="shared" si="11"/>
        <v>38209.005250000002</v>
      </c>
      <c r="R59" s="2"/>
      <c r="S59" s="2"/>
      <c r="T59" s="2"/>
    </row>
    <row r="60" spans="1:20" x14ac:dyDescent="0.2">
      <c r="A60" s="45" t="s">
        <v>58</v>
      </c>
      <c r="B60" s="46" t="s">
        <v>30</v>
      </c>
      <c r="C60" s="45">
        <v>53233.559000000001</v>
      </c>
      <c r="D60" s="45">
        <v>4.0000000000000001E-3</v>
      </c>
      <c r="E60">
        <f t="shared" si="8"/>
        <v>28132.897486856586</v>
      </c>
      <c r="F60">
        <f t="shared" si="9"/>
        <v>28133</v>
      </c>
      <c r="G60">
        <f t="shared" si="6"/>
        <v>-4.7797359999094624E-2</v>
      </c>
      <c r="I60">
        <f>+G60</f>
        <v>-4.7797359999094624E-2</v>
      </c>
      <c r="O60">
        <f t="shared" ca="1" si="10"/>
        <v>-4.0563663195425877E-2</v>
      </c>
      <c r="Q60" s="2">
        <f t="shared" si="11"/>
        <v>38215.059000000001</v>
      </c>
      <c r="R60" s="2"/>
      <c r="S60" s="2"/>
      <c r="T60" s="2"/>
    </row>
    <row r="61" spans="1:20" x14ac:dyDescent="0.2">
      <c r="A61" s="65" t="s">
        <v>262</v>
      </c>
      <c r="B61" s="66" t="s">
        <v>30</v>
      </c>
      <c r="C61" s="65">
        <v>53256.415000000001</v>
      </c>
      <c r="D61" s="65" t="s">
        <v>75</v>
      </c>
      <c r="E61">
        <f t="shared" si="8"/>
        <v>28181.917775971626</v>
      </c>
      <c r="F61">
        <f t="shared" si="9"/>
        <v>28182</v>
      </c>
      <c r="G61">
        <f t="shared" si="6"/>
        <v>-3.8337439997121692E-2</v>
      </c>
      <c r="K61">
        <f>+G61</f>
        <v>-3.8337439997121692E-2</v>
      </c>
      <c r="O61">
        <f t="shared" ca="1" si="10"/>
        <v>-4.0706946752781421E-2</v>
      </c>
      <c r="Q61" s="2">
        <f t="shared" si="11"/>
        <v>38237.915000000001</v>
      </c>
      <c r="R61" s="2"/>
      <c r="S61" s="2"/>
      <c r="T61" s="2"/>
    </row>
    <row r="62" spans="1:20" x14ac:dyDescent="0.2">
      <c r="A62" s="42" t="s">
        <v>42</v>
      </c>
      <c r="B62" s="37"/>
      <c r="C62" s="32">
        <v>53259.439700000003</v>
      </c>
      <c r="D62" s="32">
        <v>1.6999999999999999E-3</v>
      </c>
      <c r="E62" s="41">
        <f t="shared" si="8"/>
        <v>28188.404985828398</v>
      </c>
      <c r="F62">
        <f t="shared" si="9"/>
        <v>28188.5</v>
      </c>
      <c r="G62">
        <f t="shared" si="6"/>
        <v>-4.4300919995293953E-2</v>
      </c>
      <c r="J62">
        <f>+G62</f>
        <v>-4.4300919995293953E-2</v>
      </c>
      <c r="O62">
        <f t="shared" ca="1" si="10"/>
        <v>-4.0725953755287779E-2</v>
      </c>
      <c r="Q62" s="2">
        <f t="shared" si="11"/>
        <v>38240.939700000003</v>
      </c>
      <c r="R62" s="2"/>
      <c r="S62" s="2"/>
      <c r="T62" s="2"/>
    </row>
    <row r="63" spans="1:20" x14ac:dyDescent="0.2">
      <c r="A63" s="16" t="s">
        <v>54</v>
      </c>
      <c r="B63" s="40" t="s">
        <v>30</v>
      </c>
      <c r="C63" s="32">
        <v>54298.489269999998</v>
      </c>
      <c r="D63" s="32">
        <v>1E-4</v>
      </c>
      <c r="E63" s="41">
        <f t="shared" si="8"/>
        <v>30416.901237414855</v>
      </c>
      <c r="F63">
        <f t="shared" si="9"/>
        <v>30417</v>
      </c>
      <c r="G63">
        <f t="shared" si="6"/>
        <v>-4.604863999702502E-2</v>
      </c>
      <c r="K63">
        <f>+G63</f>
        <v>-4.604863999702502E-2</v>
      </c>
      <c r="O63">
        <f t="shared" ca="1" si="10"/>
        <v>-4.7242431460733557E-2</v>
      </c>
      <c r="Q63" s="2">
        <f t="shared" si="11"/>
        <v>39279.989269999998</v>
      </c>
      <c r="R63" s="2"/>
      <c r="S63" s="2"/>
      <c r="T63" s="2"/>
    </row>
    <row r="64" spans="1:20" x14ac:dyDescent="0.2">
      <c r="A64" s="65" t="s">
        <v>217</v>
      </c>
      <c r="B64" s="66" t="s">
        <v>30</v>
      </c>
      <c r="C64" s="65">
        <v>55051.4876</v>
      </c>
      <c r="D64" s="65" t="s">
        <v>75</v>
      </c>
      <c r="E64">
        <f t="shared" si="8"/>
        <v>32031.890554869533</v>
      </c>
      <c r="F64">
        <f t="shared" si="9"/>
        <v>32032</v>
      </c>
      <c r="G64">
        <f t="shared" si="6"/>
        <v>-5.1029439993726555E-2</v>
      </c>
      <c r="I64">
        <f>+G64</f>
        <v>-5.1029439993726555E-2</v>
      </c>
      <c r="O64">
        <f t="shared" ca="1" si="10"/>
        <v>-5.1964940545003217E-2</v>
      </c>
      <c r="Q64" s="2">
        <f t="shared" si="11"/>
        <v>40032.9876</v>
      </c>
      <c r="R64" s="2"/>
      <c r="S64" s="2"/>
      <c r="T64" s="2"/>
    </row>
    <row r="65" spans="1:21" x14ac:dyDescent="0.2">
      <c r="A65" s="65" t="s">
        <v>217</v>
      </c>
      <c r="B65" s="66" t="s">
        <v>33</v>
      </c>
      <c r="C65" s="65">
        <v>55062.444300000003</v>
      </c>
      <c r="D65" s="65" t="s">
        <v>75</v>
      </c>
      <c r="E65">
        <f t="shared" si="8"/>
        <v>32055.389881162275</v>
      </c>
      <c r="F65">
        <f t="shared" si="9"/>
        <v>32055.5</v>
      </c>
      <c r="G65">
        <f t="shared" si="6"/>
        <v>-5.1343559993256349E-2</v>
      </c>
      <c r="I65">
        <f>+G65</f>
        <v>-5.1343559993256349E-2</v>
      </c>
      <c r="O65">
        <f t="shared" ca="1" si="10"/>
        <v>-5.203365816944925E-2</v>
      </c>
      <c r="Q65" s="2">
        <f t="shared" si="11"/>
        <v>40043.944300000003</v>
      </c>
      <c r="R65" s="2"/>
      <c r="S65" s="2"/>
      <c r="T65" s="2"/>
    </row>
    <row r="66" spans="1:21" x14ac:dyDescent="0.2">
      <c r="A66" s="65" t="s">
        <v>217</v>
      </c>
      <c r="B66" s="66" t="s">
        <v>30</v>
      </c>
      <c r="C66" s="65">
        <v>55074.332699999999</v>
      </c>
      <c r="D66" s="65" t="s">
        <v>75</v>
      </c>
      <c r="E66">
        <f t="shared" si="8"/>
        <v>32080.887466265314</v>
      </c>
      <c r="F66">
        <f t="shared" si="9"/>
        <v>32081</v>
      </c>
      <c r="G66">
        <f t="shared" si="6"/>
        <v>-5.2469520000158809E-2</v>
      </c>
      <c r="I66">
        <f>+G66</f>
        <v>-5.2469520000158809E-2</v>
      </c>
      <c r="O66">
        <f t="shared" ca="1" si="10"/>
        <v>-5.2108224102358762E-2</v>
      </c>
      <c r="Q66" s="2">
        <f t="shared" si="11"/>
        <v>40055.832699999999</v>
      </c>
      <c r="R66" s="2"/>
      <c r="S66" s="2"/>
      <c r="T66" s="2"/>
    </row>
    <row r="67" spans="1:21" x14ac:dyDescent="0.2">
      <c r="A67" s="45" t="s">
        <v>55</v>
      </c>
      <c r="B67" s="46" t="s">
        <v>33</v>
      </c>
      <c r="C67" s="45">
        <v>55114.689599999998</v>
      </c>
      <c r="D67" s="45">
        <v>5.0000000000000001E-4</v>
      </c>
      <c r="E67" s="41">
        <f t="shared" si="8"/>
        <v>32167.442721156229</v>
      </c>
      <c r="F67">
        <f t="shared" si="9"/>
        <v>32167.5</v>
      </c>
      <c r="O67">
        <f t="shared" ca="1" si="10"/>
        <v>-5.236116344340478E-2</v>
      </c>
      <c r="Q67" s="2">
        <f t="shared" si="11"/>
        <v>40096.189599999998</v>
      </c>
      <c r="R67" s="2"/>
      <c r="S67" s="2"/>
      <c r="T67" s="2"/>
      <c r="U67" s="12">
        <v>-2.670659999421332E-2</v>
      </c>
    </row>
    <row r="68" spans="1:21" x14ac:dyDescent="0.2">
      <c r="A68" s="45" t="s">
        <v>56</v>
      </c>
      <c r="B68" s="46" t="s">
        <v>30</v>
      </c>
      <c r="C68" s="45">
        <v>55306.525999999998</v>
      </c>
      <c r="D68" s="45">
        <v>2.0000000000000001E-4</v>
      </c>
      <c r="E68">
        <f t="shared" si="8"/>
        <v>32578.882859010137</v>
      </c>
      <c r="F68">
        <f t="shared" si="9"/>
        <v>32579</v>
      </c>
      <c r="G68">
        <f t="shared" ref="G68:G73" si="12">+C68-(C$7+F68*C$8)</f>
        <v>-5.4617679998045787E-2</v>
      </c>
      <c r="J68">
        <f>+G68</f>
        <v>-5.4617679998045787E-2</v>
      </c>
      <c r="O68">
        <f t="shared" ca="1" si="10"/>
        <v>-5.3564452909768238E-2</v>
      </c>
      <c r="Q68" s="2">
        <f t="shared" si="11"/>
        <v>40288.025999999998</v>
      </c>
      <c r="R68" s="2"/>
      <c r="S68" s="2"/>
      <c r="T68" s="2"/>
    </row>
    <row r="69" spans="1:21" x14ac:dyDescent="0.2">
      <c r="A69" s="45" t="s">
        <v>56</v>
      </c>
      <c r="B69" s="46" t="s">
        <v>33</v>
      </c>
      <c r="C69" s="45">
        <v>55372.501799999998</v>
      </c>
      <c r="D69" s="45">
        <v>1.8E-3</v>
      </c>
      <c r="E69" s="41">
        <f t="shared" si="8"/>
        <v>32720.384118661703</v>
      </c>
      <c r="F69">
        <f t="shared" si="9"/>
        <v>32720.5</v>
      </c>
      <c r="G69">
        <f t="shared" si="12"/>
        <v>-5.4030359999160282E-2</v>
      </c>
      <c r="J69">
        <f>+G69</f>
        <v>-5.4030359999160282E-2</v>
      </c>
      <c r="O69">
        <f t="shared" ca="1" si="10"/>
        <v>-5.3978220733560282E-2</v>
      </c>
      <c r="Q69" s="2">
        <f t="shared" si="11"/>
        <v>40354.001799999998</v>
      </c>
      <c r="R69" s="2"/>
      <c r="S69" s="2"/>
      <c r="T69" s="2"/>
    </row>
    <row r="70" spans="1:21" x14ac:dyDescent="0.2">
      <c r="A70" s="50" t="s">
        <v>65</v>
      </c>
      <c r="B70" s="50"/>
      <c r="C70" s="51">
        <v>55462.489399999999</v>
      </c>
      <c r="D70" s="51">
        <v>1.6999999999999999E-3</v>
      </c>
      <c r="E70" s="41">
        <f t="shared" si="8"/>
        <v>32913.384563567583</v>
      </c>
      <c r="F70">
        <f t="shared" si="9"/>
        <v>32913.5</v>
      </c>
      <c r="G70">
        <f t="shared" si="12"/>
        <v>-5.3822919995582197E-2</v>
      </c>
      <c r="J70">
        <f>+G70</f>
        <v>-5.3822919995582197E-2</v>
      </c>
      <c r="K70">
        <f>+G71</f>
        <v>-6.0364479992131237E-2</v>
      </c>
      <c r="O70">
        <f t="shared" ca="1" si="10"/>
        <v>-5.4542582500287241E-2</v>
      </c>
      <c r="Q70" s="2">
        <f t="shared" si="11"/>
        <v>40443.989399999999</v>
      </c>
      <c r="R70" s="2"/>
      <c r="S70" s="2"/>
      <c r="T70" s="2"/>
    </row>
    <row r="71" spans="1:21" x14ac:dyDescent="0.2">
      <c r="A71" s="45" t="s">
        <v>57</v>
      </c>
      <c r="B71" s="46" t="s">
        <v>30</v>
      </c>
      <c r="C71" s="45">
        <v>55849.708400000003</v>
      </c>
      <c r="D71" s="45">
        <v>8.0000000000000004E-4</v>
      </c>
      <c r="E71" s="41">
        <f t="shared" si="8"/>
        <v>33743.870533590234</v>
      </c>
      <c r="F71">
        <f t="shared" si="9"/>
        <v>33744</v>
      </c>
      <c r="G71">
        <f t="shared" si="12"/>
        <v>-6.0364479992131237E-2</v>
      </c>
      <c r="K71">
        <f>+G72</f>
        <v>-5.5636999997659586E-2</v>
      </c>
      <c r="O71">
        <f t="shared" ca="1" si="10"/>
        <v>-5.6971092589752227E-2</v>
      </c>
      <c r="Q71" s="2">
        <f t="shared" si="11"/>
        <v>40831.208400000003</v>
      </c>
      <c r="R71" s="2"/>
      <c r="S71" s="2"/>
      <c r="T71" s="2"/>
    </row>
    <row r="72" spans="1:21" x14ac:dyDescent="0.2">
      <c r="A72" s="16" t="s">
        <v>59</v>
      </c>
      <c r="B72" s="40" t="s">
        <v>33</v>
      </c>
      <c r="C72" s="32">
        <v>56219.6872</v>
      </c>
      <c r="D72" s="32">
        <v>5.0000000000000001E-4</v>
      </c>
      <c r="E72" s="41">
        <f t="shared" si="8"/>
        <v>34537.380672828782</v>
      </c>
      <c r="F72">
        <f t="shared" si="9"/>
        <v>34537.5</v>
      </c>
      <c r="G72">
        <f t="shared" si="12"/>
        <v>-5.5636999997659586E-2</v>
      </c>
      <c r="O72">
        <f t="shared" ca="1" si="10"/>
        <v>-5.9291408972642616E-2</v>
      </c>
      <c r="Q72" s="2">
        <f t="shared" si="11"/>
        <v>41201.1872</v>
      </c>
      <c r="R72" s="2"/>
      <c r="S72" s="2"/>
      <c r="T72" s="2"/>
    </row>
    <row r="73" spans="1:21" x14ac:dyDescent="0.2">
      <c r="A73" s="48" t="s">
        <v>62</v>
      </c>
      <c r="B73" s="47" t="s">
        <v>30</v>
      </c>
      <c r="C73" s="48">
        <v>56491.5098</v>
      </c>
      <c r="D73" s="48">
        <v>6.1999999999999998E-3</v>
      </c>
      <c r="E73" s="41">
        <f t="shared" si="8"/>
        <v>35120.370804085454</v>
      </c>
      <c r="F73">
        <f t="shared" si="9"/>
        <v>35120.5</v>
      </c>
      <c r="G73">
        <f t="shared" si="12"/>
        <v>-6.0238359998038504E-2</v>
      </c>
      <c r="J73">
        <f>+G73</f>
        <v>-6.0238359998038504E-2</v>
      </c>
      <c r="O73">
        <f t="shared" ca="1" si="10"/>
        <v>-6.099619088975048E-2</v>
      </c>
      <c r="Q73" s="2">
        <f t="shared" si="11"/>
        <v>41473.0098</v>
      </c>
      <c r="R73" s="2"/>
      <c r="S73" s="2"/>
      <c r="T73" s="2"/>
    </row>
    <row r="74" spans="1:21" x14ac:dyDescent="0.2">
      <c r="B74" s="15"/>
      <c r="C74" s="10"/>
      <c r="D74" s="10"/>
    </row>
    <row r="75" spans="1:21" x14ac:dyDescent="0.2">
      <c r="C75" s="10"/>
      <c r="D75" s="10"/>
    </row>
    <row r="76" spans="1:21" x14ac:dyDescent="0.2">
      <c r="C76" s="10"/>
      <c r="D76" s="10"/>
    </row>
    <row r="77" spans="1:21" x14ac:dyDescent="0.2">
      <c r="C77" s="10"/>
      <c r="D77" s="10"/>
    </row>
    <row r="78" spans="1:21" x14ac:dyDescent="0.2">
      <c r="C78" s="10"/>
      <c r="D78" s="10"/>
    </row>
    <row r="79" spans="1:21" x14ac:dyDescent="0.2">
      <c r="C79" s="10"/>
      <c r="D79" s="10"/>
    </row>
    <row r="80" spans="1:21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7"/>
  <sheetViews>
    <sheetView topLeftCell="A16" workbookViewId="0">
      <selection activeCell="A45" sqref="A45:D54"/>
    </sheetView>
  </sheetViews>
  <sheetFormatPr defaultRowHeight="12.75" x14ac:dyDescent="0.2"/>
  <cols>
    <col min="1" max="1" width="19.7109375" style="10" customWidth="1"/>
    <col min="2" max="2" width="4.42578125" style="21" customWidth="1"/>
    <col min="3" max="3" width="12.7109375" style="10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0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52" t="s">
        <v>66</v>
      </c>
      <c r="I1" s="53" t="s">
        <v>67</v>
      </c>
      <c r="J1" s="54" t="s">
        <v>52</v>
      </c>
    </row>
    <row r="2" spans="1:16" x14ac:dyDescent="0.2">
      <c r="I2" s="55" t="s">
        <v>68</v>
      </c>
      <c r="J2" s="56" t="s">
        <v>69</v>
      </c>
    </row>
    <row r="3" spans="1:16" x14ac:dyDescent="0.2">
      <c r="A3" s="57" t="s">
        <v>70</v>
      </c>
      <c r="I3" s="55" t="s">
        <v>71</v>
      </c>
      <c r="J3" s="56" t="s">
        <v>72</v>
      </c>
    </row>
    <row r="4" spans="1:16" x14ac:dyDescent="0.2">
      <c r="I4" s="55" t="s">
        <v>73</v>
      </c>
      <c r="J4" s="56" t="s">
        <v>72</v>
      </c>
    </row>
    <row r="5" spans="1:16" ht="13.5" thickBot="1" x14ac:dyDescent="0.25">
      <c r="I5" s="58" t="s">
        <v>74</v>
      </c>
      <c r="J5" s="59" t="s">
        <v>75</v>
      </c>
    </row>
    <row r="10" spans="1:16" ht="13.5" thickBot="1" x14ac:dyDescent="0.25"/>
    <row r="11" spans="1:16" ht="12.75" customHeight="1" thickBot="1" x14ac:dyDescent="0.25">
      <c r="A11" s="10" t="str">
        <f t="shared" ref="A11:A54" si="0">P11</f>
        <v>IBVS 4887 </v>
      </c>
      <c r="B11" s="15" t="str">
        <f t="shared" ref="B11:B54" si="1">IF(H11=INT(H11),"I","II")</f>
        <v>I</v>
      </c>
      <c r="C11" s="10">
        <f t="shared" ref="C11:C54" si="2">1*G11</f>
        <v>49987.505599999997</v>
      </c>
      <c r="D11" s="21" t="str">
        <f t="shared" ref="D11:D54" si="3">VLOOKUP(F11,I$1:J$5,2,FALSE)</f>
        <v>vis</v>
      </c>
      <c r="E11" s="60">
        <f>VLOOKUP(C11,Active!C$21:E$972,3,FALSE)</f>
        <v>21170.941057434724</v>
      </c>
      <c r="F11" s="15" t="s">
        <v>74</v>
      </c>
      <c r="G11" s="21" t="str">
        <f t="shared" ref="G11:G54" si="4">MID(I11,3,LEN(I11)-3)</f>
        <v>49987.5056</v>
      </c>
      <c r="H11" s="10">
        <f t="shared" ref="H11:H54" si="5">1*K11</f>
        <v>21171</v>
      </c>
      <c r="I11" s="61" t="s">
        <v>98</v>
      </c>
      <c r="J11" s="62" t="s">
        <v>99</v>
      </c>
      <c r="K11" s="61">
        <v>21171</v>
      </c>
      <c r="L11" s="61" t="s">
        <v>100</v>
      </c>
      <c r="M11" s="62" t="s">
        <v>101</v>
      </c>
      <c r="N11" s="62" t="s">
        <v>102</v>
      </c>
      <c r="O11" s="63" t="s">
        <v>103</v>
      </c>
      <c r="P11" s="64" t="s">
        <v>104</v>
      </c>
    </row>
    <row r="12" spans="1:16" ht="12.75" customHeight="1" thickBot="1" x14ac:dyDescent="0.25">
      <c r="A12" s="10" t="str">
        <f t="shared" si="0"/>
        <v> BBS 111 </v>
      </c>
      <c r="B12" s="15" t="str">
        <f t="shared" si="1"/>
        <v>I</v>
      </c>
      <c r="C12" s="10">
        <f t="shared" si="2"/>
        <v>50053.254399999998</v>
      </c>
      <c r="D12" s="21" t="str">
        <f t="shared" si="3"/>
        <v>vis</v>
      </c>
      <c r="E12" s="60">
        <f>VLOOKUP(C12,Active!C$21:E$972,3,FALSE)</f>
        <v>21311.955459997167</v>
      </c>
      <c r="F12" s="15" t="s">
        <v>74</v>
      </c>
      <c r="G12" s="21" t="str">
        <f t="shared" si="4"/>
        <v>50053.2544</v>
      </c>
      <c r="H12" s="10">
        <f t="shared" si="5"/>
        <v>21312</v>
      </c>
      <c r="I12" s="61" t="s">
        <v>105</v>
      </c>
      <c r="J12" s="62" t="s">
        <v>106</v>
      </c>
      <c r="K12" s="61">
        <v>21312</v>
      </c>
      <c r="L12" s="61" t="s">
        <v>107</v>
      </c>
      <c r="M12" s="62" t="s">
        <v>101</v>
      </c>
      <c r="N12" s="62" t="s">
        <v>102</v>
      </c>
      <c r="O12" s="63" t="s">
        <v>108</v>
      </c>
      <c r="P12" s="63" t="s">
        <v>109</v>
      </c>
    </row>
    <row r="13" spans="1:16" ht="12.75" customHeight="1" thickBot="1" x14ac:dyDescent="0.25">
      <c r="A13" s="10" t="str">
        <f t="shared" si="0"/>
        <v>IBVS 4887 </v>
      </c>
      <c r="B13" s="15" t="str">
        <f t="shared" si="1"/>
        <v>I</v>
      </c>
      <c r="C13" s="10">
        <f t="shared" si="2"/>
        <v>50604.3658</v>
      </c>
      <c r="D13" s="21" t="str">
        <f t="shared" si="3"/>
        <v>vis</v>
      </c>
      <c r="E13" s="60">
        <f>VLOOKUP(C13,Active!C$21:E$972,3,FALSE)</f>
        <v>22493.948816778571</v>
      </c>
      <c r="F13" s="15" t="s">
        <v>74</v>
      </c>
      <c r="G13" s="21" t="str">
        <f t="shared" si="4"/>
        <v>50604.3658</v>
      </c>
      <c r="H13" s="10">
        <f t="shared" si="5"/>
        <v>22494</v>
      </c>
      <c r="I13" s="61" t="s">
        <v>110</v>
      </c>
      <c r="J13" s="62" t="s">
        <v>111</v>
      </c>
      <c r="K13" s="61">
        <v>22494</v>
      </c>
      <c r="L13" s="61" t="s">
        <v>112</v>
      </c>
      <c r="M13" s="62" t="s">
        <v>101</v>
      </c>
      <c r="N13" s="62" t="s">
        <v>102</v>
      </c>
      <c r="O13" s="63" t="s">
        <v>113</v>
      </c>
      <c r="P13" s="64" t="s">
        <v>104</v>
      </c>
    </row>
    <row r="14" spans="1:16" ht="12.75" customHeight="1" thickBot="1" x14ac:dyDescent="0.25">
      <c r="A14" s="10" t="str">
        <f t="shared" si="0"/>
        <v>IBVS 4887 </v>
      </c>
      <c r="B14" s="15" t="str">
        <f t="shared" si="1"/>
        <v>I</v>
      </c>
      <c r="C14" s="10">
        <f t="shared" si="2"/>
        <v>50658.450700000001</v>
      </c>
      <c r="D14" s="21" t="str">
        <f t="shared" si="3"/>
        <v>vis</v>
      </c>
      <c r="E14" s="60">
        <f>VLOOKUP(C14,Active!C$21:E$972,3,FALSE)</f>
        <v>22609.947129464876</v>
      </c>
      <c r="F14" s="15" t="s">
        <v>74</v>
      </c>
      <c r="G14" s="21" t="str">
        <f t="shared" si="4"/>
        <v>50658.4507</v>
      </c>
      <c r="H14" s="10">
        <f t="shared" si="5"/>
        <v>22610</v>
      </c>
      <c r="I14" s="61" t="s">
        <v>114</v>
      </c>
      <c r="J14" s="62" t="s">
        <v>115</v>
      </c>
      <c r="K14" s="61">
        <v>22610</v>
      </c>
      <c r="L14" s="61" t="s">
        <v>116</v>
      </c>
      <c r="M14" s="62" t="s">
        <v>101</v>
      </c>
      <c r="N14" s="62" t="s">
        <v>102</v>
      </c>
      <c r="O14" s="63" t="s">
        <v>113</v>
      </c>
      <c r="P14" s="64" t="s">
        <v>104</v>
      </c>
    </row>
    <row r="15" spans="1:16" ht="12.75" customHeight="1" thickBot="1" x14ac:dyDescent="0.25">
      <c r="A15" s="10" t="str">
        <f t="shared" si="0"/>
        <v>IBVS 4887 </v>
      </c>
      <c r="B15" s="15" t="str">
        <f t="shared" si="1"/>
        <v>I</v>
      </c>
      <c r="C15" s="10">
        <f t="shared" si="2"/>
        <v>50671.507400000002</v>
      </c>
      <c r="D15" s="21" t="str">
        <f t="shared" si="3"/>
        <v>vis</v>
      </c>
      <c r="E15" s="60">
        <f>VLOOKUP(C15,Active!C$21:E$972,3,FALSE)</f>
        <v>22637.950420018271</v>
      </c>
      <c r="F15" s="15" t="s">
        <v>74</v>
      </c>
      <c r="G15" s="21" t="str">
        <f t="shared" si="4"/>
        <v>50671.5074</v>
      </c>
      <c r="H15" s="10">
        <f t="shared" si="5"/>
        <v>22638</v>
      </c>
      <c r="I15" s="61" t="s">
        <v>117</v>
      </c>
      <c r="J15" s="62" t="s">
        <v>118</v>
      </c>
      <c r="K15" s="61">
        <v>22638</v>
      </c>
      <c r="L15" s="61" t="s">
        <v>119</v>
      </c>
      <c r="M15" s="62" t="s">
        <v>101</v>
      </c>
      <c r="N15" s="62" t="s">
        <v>102</v>
      </c>
      <c r="O15" s="63" t="s">
        <v>113</v>
      </c>
      <c r="P15" s="64" t="s">
        <v>104</v>
      </c>
    </row>
    <row r="16" spans="1:16" ht="12.75" customHeight="1" thickBot="1" x14ac:dyDescent="0.25">
      <c r="A16" s="10" t="str">
        <f t="shared" si="0"/>
        <v>IBVS 4887 </v>
      </c>
      <c r="B16" s="15" t="str">
        <f t="shared" si="1"/>
        <v>I</v>
      </c>
      <c r="C16" s="10">
        <f t="shared" si="2"/>
        <v>50693.416100000002</v>
      </c>
      <c r="D16" s="21" t="str">
        <f t="shared" si="3"/>
        <v>vis</v>
      </c>
      <c r="E16" s="60">
        <f>VLOOKUP(C16,Active!C$21:E$972,3,FALSE)</f>
        <v>22684.938992302781</v>
      </c>
      <c r="F16" s="15" t="s">
        <v>74</v>
      </c>
      <c r="G16" s="21" t="str">
        <f t="shared" si="4"/>
        <v>50693.4161</v>
      </c>
      <c r="H16" s="10">
        <f t="shared" si="5"/>
        <v>22685</v>
      </c>
      <c r="I16" s="61" t="s">
        <v>120</v>
      </c>
      <c r="J16" s="62" t="s">
        <v>121</v>
      </c>
      <c r="K16" s="61">
        <v>22685</v>
      </c>
      <c r="L16" s="61" t="s">
        <v>122</v>
      </c>
      <c r="M16" s="62" t="s">
        <v>101</v>
      </c>
      <c r="N16" s="62" t="s">
        <v>102</v>
      </c>
      <c r="O16" s="63" t="s">
        <v>113</v>
      </c>
      <c r="P16" s="64" t="s">
        <v>104</v>
      </c>
    </row>
    <row r="17" spans="1:16" ht="12.75" customHeight="1" thickBot="1" x14ac:dyDescent="0.25">
      <c r="A17" s="10" t="str">
        <f t="shared" si="0"/>
        <v>IBVS 4888 </v>
      </c>
      <c r="B17" s="15" t="str">
        <f t="shared" si="1"/>
        <v>I</v>
      </c>
      <c r="C17" s="10">
        <f t="shared" si="2"/>
        <v>50947.529900000001</v>
      </c>
      <c r="D17" s="21" t="str">
        <f t="shared" si="3"/>
        <v>vis</v>
      </c>
      <c r="E17" s="60">
        <f>VLOOKUP(C17,Active!C$21:E$972,3,FALSE)</f>
        <v>23229.948265321767</v>
      </c>
      <c r="F17" s="15" t="s">
        <v>74</v>
      </c>
      <c r="G17" s="21" t="str">
        <f t="shared" si="4"/>
        <v>50947.5299</v>
      </c>
      <c r="H17" s="10">
        <f t="shared" si="5"/>
        <v>23230</v>
      </c>
      <c r="I17" s="61" t="s">
        <v>123</v>
      </c>
      <c r="J17" s="62" t="s">
        <v>124</v>
      </c>
      <c r="K17" s="61">
        <v>23230</v>
      </c>
      <c r="L17" s="61" t="s">
        <v>125</v>
      </c>
      <c r="M17" s="62" t="s">
        <v>101</v>
      </c>
      <c r="N17" s="62" t="s">
        <v>102</v>
      </c>
      <c r="O17" s="63" t="s">
        <v>126</v>
      </c>
      <c r="P17" s="64" t="s">
        <v>127</v>
      </c>
    </row>
    <row r="18" spans="1:16" ht="12.75" customHeight="1" thickBot="1" x14ac:dyDescent="0.25">
      <c r="A18" s="10" t="str">
        <f t="shared" si="0"/>
        <v>IBVS 4888 </v>
      </c>
      <c r="B18" s="15" t="str">
        <f t="shared" si="1"/>
        <v>I</v>
      </c>
      <c r="C18" s="10">
        <f t="shared" si="2"/>
        <v>50961.5147</v>
      </c>
      <c r="D18" s="21" t="str">
        <f t="shared" si="3"/>
        <v>vis</v>
      </c>
      <c r="E18" s="60">
        <f>VLOOKUP(C18,Active!C$21:E$972,3,FALSE)</f>
        <v>23259.94209360388</v>
      </c>
      <c r="F18" s="15" t="s">
        <v>74</v>
      </c>
      <c r="G18" s="21" t="str">
        <f t="shared" si="4"/>
        <v>50961.5147</v>
      </c>
      <c r="H18" s="10">
        <f t="shared" si="5"/>
        <v>23260</v>
      </c>
      <c r="I18" s="61" t="s">
        <v>128</v>
      </c>
      <c r="J18" s="62" t="s">
        <v>129</v>
      </c>
      <c r="K18" s="61">
        <v>23260</v>
      </c>
      <c r="L18" s="61" t="s">
        <v>130</v>
      </c>
      <c r="M18" s="62" t="s">
        <v>101</v>
      </c>
      <c r="N18" s="62" t="s">
        <v>102</v>
      </c>
      <c r="O18" s="63" t="s">
        <v>113</v>
      </c>
      <c r="P18" s="64" t="s">
        <v>127</v>
      </c>
    </row>
    <row r="19" spans="1:16" ht="12.75" customHeight="1" thickBot="1" x14ac:dyDescent="0.25">
      <c r="A19" s="10" t="str">
        <f t="shared" si="0"/>
        <v>IBVS 4888 </v>
      </c>
      <c r="B19" s="15" t="str">
        <f t="shared" si="1"/>
        <v>I</v>
      </c>
      <c r="C19" s="10">
        <f t="shared" si="2"/>
        <v>51040.34</v>
      </c>
      <c r="D19" s="21" t="str">
        <f t="shared" si="3"/>
        <v>vis</v>
      </c>
      <c r="E19" s="60">
        <f>VLOOKUP(C19,Active!C$21:E$972,3,FALSE)</f>
        <v>23429.002252668448</v>
      </c>
      <c r="F19" s="15" t="s">
        <v>74</v>
      </c>
      <c r="G19" s="21" t="str">
        <f t="shared" si="4"/>
        <v>51040.3400</v>
      </c>
      <c r="H19" s="10">
        <f t="shared" si="5"/>
        <v>23429</v>
      </c>
      <c r="I19" s="61" t="s">
        <v>131</v>
      </c>
      <c r="J19" s="62" t="s">
        <v>132</v>
      </c>
      <c r="K19" s="61">
        <v>23429</v>
      </c>
      <c r="L19" s="61" t="s">
        <v>133</v>
      </c>
      <c r="M19" s="62" t="s">
        <v>101</v>
      </c>
      <c r="N19" s="62" t="s">
        <v>102</v>
      </c>
      <c r="O19" s="63" t="s">
        <v>126</v>
      </c>
      <c r="P19" s="64" t="s">
        <v>127</v>
      </c>
    </row>
    <row r="20" spans="1:16" ht="12.75" customHeight="1" thickBot="1" x14ac:dyDescent="0.25">
      <c r="A20" s="10" t="str">
        <f t="shared" si="0"/>
        <v>IBVS 4888 </v>
      </c>
      <c r="B20" s="15" t="str">
        <f t="shared" si="1"/>
        <v>II</v>
      </c>
      <c r="C20" s="10">
        <f t="shared" si="2"/>
        <v>51040.554700000001</v>
      </c>
      <c r="D20" s="21" t="str">
        <f t="shared" si="3"/>
        <v>vis</v>
      </c>
      <c r="E20" s="60">
        <f>VLOOKUP(C20,Active!C$21:E$972,3,FALSE)</f>
        <v>23429.462729395487</v>
      </c>
      <c r="F20" s="15" t="s">
        <v>74</v>
      </c>
      <c r="G20" s="21" t="str">
        <f t="shared" si="4"/>
        <v>51040.5547</v>
      </c>
      <c r="H20" s="10">
        <f t="shared" si="5"/>
        <v>23429.5</v>
      </c>
      <c r="I20" s="61" t="s">
        <v>134</v>
      </c>
      <c r="J20" s="62" t="s">
        <v>135</v>
      </c>
      <c r="K20" s="61">
        <v>23429.5</v>
      </c>
      <c r="L20" s="61" t="s">
        <v>136</v>
      </c>
      <c r="M20" s="62" t="s">
        <v>101</v>
      </c>
      <c r="N20" s="62" t="s">
        <v>102</v>
      </c>
      <c r="O20" s="63" t="s">
        <v>126</v>
      </c>
      <c r="P20" s="64" t="s">
        <v>127</v>
      </c>
    </row>
    <row r="21" spans="1:16" ht="12.75" customHeight="1" thickBot="1" x14ac:dyDescent="0.25">
      <c r="A21" s="10" t="str">
        <f t="shared" si="0"/>
        <v>IBVS 4888 </v>
      </c>
      <c r="B21" s="15" t="str">
        <f t="shared" si="1"/>
        <v>I</v>
      </c>
      <c r="C21" s="10">
        <f t="shared" si="2"/>
        <v>51045.441599999998</v>
      </c>
      <c r="D21" s="21" t="str">
        <f t="shared" si="3"/>
        <v>vis</v>
      </c>
      <c r="E21" s="60">
        <f>VLOOKUP(C21,Active!C$21:E$972,3,FALSE)</f>
        <v>23439.94388317901</v>
      </c>
      <c r="F21" s="15" t="s">
        <v>74</v>
      </c>
      <c r="G21" s="21" t="str">
        <f t="shared" si="4"/>
        <v>51045.4416</v>
      </c>
      <c r="H21" s="10">
        <f t="shared" si="5"/>
        <v>23440</v>
      </c>
      <c r="I21" s="61" t="s">
        <v>137</v>
      </c>
      <c r="J21" s="62" t="s">
        <v>138</v>
      </c>
      <c r="K21" s="61">
        <v>23440</v>
      </c>
      <c r="L21" s="61" t="s">
        <v>139</v>
      </c>
      <c r="M21" s="62" t="s">
        <v>101</v>
      </c>
      <c r="N21" s="62" t="s">
        <v>102</v>
      </c>
      <c r="O21" s="63" t="s">
        <v>126</v>
      </c>
      <c r="P21" s="64" t="s">
        <v>127</v>
      </c>
    </row>
    <row r="22" spans="1:16" ht="12.75" customHeight="1" thickBot="1" x14ac:dyDescent="0.25">
      <c r="A22" s="10" t="str">
        <f t="shared" si="0"/>
        <v>IBVS 4888 </v>
      </c>
      <c r="B22" s="15" t="str">
        <f t="shared" si="1"/>
        <v>I</v>
      </c>
      <c r="C22" s="10">
        <f t="shared" si="2"/>
        <v>51081.342400000001</v>
      </c>
      <c r="D22" s="21" t="str">
        <f t="shared" si="3"/>
        <v>vis</v>
      </c>
      <c r="E22" s="60">
        <f>VLOOKUP(C22,Active!C$21:E$972,3,FALSE)</f>
        <v>23516.941940383309</v>
      </c>
      <c r="F22" s="15" t="s">
        <v>74</v>
      </c>
      <c r="G22" s="21" t="str">
        <f t="shared" si="4"/>
        <v>51081.3424</v>
      </c>
      <c r="H22" s="10">
        <f t="shared" si="5"/>
        <v>23517</v>
      </c>
      <c r="I22" s="61" t="s">
        <v>140</v>
      </c>
      <c r="J22" s="62" t="s">
        <v>141</v>
      </c>
      <c r="K22" s="61">
        <v>23517</v>
      </c>
      <c r="L22" s="61" t="s">
        <v>142</v>
      </c>
      <c r="M22" s="62" t="s">
        <v>101</v>
      </c>
      <c r="N22" s="62" t="s">
        <v>102</v>
      </c>
      <c r="O22" s="63" t="s">
        <v>126</v>
      </c>
      <c r="P22" s="64" t="s">
        <v>127</v>
      </c>
    </row>
    <row r="23" spans="1:16" ht="12.75" customHeight="1" thickBot="1" x14ac:dyDescent="0.25">
      <c r="A23" s="10" t="str">
        <f t="shared" si="0"/>
        <v>IBVS 5263 </v>
      </c>
      <c r="B23" s="15" t="str">
        <f t="shared" si="1"/>
        <v>I</v>
      </c>
      <c r="C23" s="10">
        <f t="shared" si="2"/>
        <v>51404.455900000001</v>
      </c>
      <c r="D23" s="21" t="str">
        <f t="shared" si="3"/>
        <v>vis</v>
      </c>
      <c r="E23" s="60">
        <f>VLOOKUP(C23,Active!C$21:E$972,3,FALSE)</f>
        <v>24209.937967114722</v>
      </c>
      <c r="F23" s="15" t="s">
        <v>74</v>
      </c>
      <c r="G23" s="21" t="str">
        <f t="shared" si="4"/>
        <v>51404.4559</v>
      </c>
      <c r="H23" s="10">
        <f t="shared" si="5"/>
        <v>24210</v>
      </c>
      <c r="I23" s="61" t="s">
        <v>143</v>
      </c>
      <c r="J23" s="62" t="s">
        <v>144</v>
      </c>
      <c r="K23" s="61">
        <v>24210</v>
      </c>
      <c r="L23" s="61" t="s">
        <v>145</v>
      </c>
      <c r="M23" s="62" t="s">
        <v>101</v>
      </c>
      <c r="N23" s="62" t="s">
        <v>102</v>
      </c>
      <c r="O23" s="63" t="s">
        <v>126</v>
      </c>
      <c r="P23" s="64" t="s">
        <v>146</v>
      </c>
    </row>
    <row r="24" spans="1:16" ht="12.75" customHeight="1" thickBot="1" x14ac:dyDescent="0.25">
      <c r="A24" s="10" t="str">
        <f t="shared" si="0"/>
        <v>IBVS 5287 </v>
      </c>
      <c r="B24" s="15" t="str">
        <f t="shared" si="1"/>
        <v>I</v>
      </c>
      <c r="C24" s="10">
        <f t="shared" si="2"/>
        <v>51721.508500000004</v>
      </c>
      <c r="D24" s="21" t="str">
        <f t="shared" si="3"/>
        <v>vis</v>
      </c>
      <c r="E24" s="60">
        <f>VLOOKUP(C24,Active!C$21:E$972,3,FALSE)</f>
        <v>24889.934909566418</v>
      </c>
      <c r="F24" s="15" t="s">
        <v>74</v>
      </c>
      <c r="G24" s="21" t="str">
        <f t="shared" si="4"/>
        <v>51721.5085</v>
      </c>
      <c r="H24" s="10">
        <f t="shared" si="5"/>
        <v>24890</v>
      </c>
      <c r="I24" s="61" t="s">
        <v>147</v>
      </c>
      <c r="J24" s="62" t="s">
        <v>148</v>
      </c>
      <c r="K24" s="61">
        <v>24890</v>
      </c>
      <c r="L24" s="61" t="s">
        <v>149</v>
      </c>
      <c r="M24" s="62" t="s">
        <v>101</v>
      </c>
      <c r="N24" s="62" t="s">
        <v>102</v>
      </c>
      <c r="O24" s="63" t="s">
        <v>126</v>
      </c>
      <c r="P24" s="64" t="s">
        <v>150</v>
      </c>
    </row>
    <row r="25" spans="1:16" ht="12.75" customHeight="1" thickBot="1" x14ac:dyDescent="0.25">
      <c r="A25" s="10" t="str">
        <f t="shared" si="0"/>
        <v>OEJV 0074 </v>
      </c>
      <c r="B25" s="15" t="str">
        <f t="shared" si="1"/>
        <v>I</v>
      </c>
      <c r="C25" s="10">
        <f t="shared" si="2"/>
        <v>51757.409099999997</v>
      </c>
      <c r="D25" s="21" t="str">
        <f t="shared" si="3"/>
        <v>vis</v>
      </c>
      <c r="E25" s="60">
        <f>VLOOKUP(C25,Active!C$21:E$972,3,FALSE)</f>
        <v>24966.932537821722</v>
      </c>
      <c r="F25" s="15" t="s">
        <v>74</v>
      </c>
      <c r="G25" s="21" t="str">
        <f t="shared" si="4"/>
        <v>51757.40910</v>
      </c>
      <c r="H25" s="10">
        <f t="shared" si="5"/>
        <v>24967</v>
      </c>
      <c r="I25" s="61" t="s">
        <v>151</v>
      </c>
      <c r="J25" s="62" t="s">
        <v>152</v>
      </c>
      <c r="K25" s="61">
        <v>24967</v>
      </c>
      <c r="L25" s="61" t="s">
        <v>153</v>
      </c>
      <c r="M25" s="62" t="s">
        <v>154</v>
      </c>
      <c r="N25" s="62" t="s">
        <v>155</v>
      </c>
      <c r="O25" s="63" t="s">
        <v>156</v>
      </c>
      <c r="P25" s="64" t="s">
        <v>157</v>
      </c>
    </row>
    <row r="26" spans="1:16" ht="12.75" customHeight="1" thickBot="1" x14ac:dyDescent="0.25">
      <c r="A26" s="10" t="str">
        <f t="shared" si="0"/>
        <v>OEJV 0074 </v>
      </c>
      <c r="B26" s="15" t="str">
        <f t="shared" si="1"/>
        <v>I</v>
      </c>
      <c r="C26" s="10">
        <f t="shared" si="2"/>
        <v>51764.403100000003</v>
      </c>
      <c r="D26" s="21" t="str">
        <f t="shared" si="3"/>
        <v>vis</v>
      </c>
      <c r="E26" s="60">
        <f>VLOOKUP(C26,Active!C$21:E$972,3,FALSE)</f>
        <v>24981.932883554608</v>
      </c>
      <c r="F26" s="15" t="s">
        <v>74</v>
      </c>
      <c r="G26" s="21" t="str">
        <f t="shared" si="4"/>
        <v>51764.40310</v>
      </c>
      <c r="H26" s="10">
        <f t="shared" si="5"/>
        <v>24982</v>
      </c>
      <c r="I26" s="61" t="s">
        <v>158</v>
      </c>
      <c r="J26" s="62" t="s">
        <v>159</v>
      </c>
      <c r="K26" s="61">
        <v>24982</v>
      </c>
      <c r="L26" s="61" t="s">
        <v>160</v>
      </c>
      <c r="M26" s="62" t="s">
        <v>154</v>
      </c>
      <c r="N26" s="62" t="s">
        <v>155</v>
      </c>
      <c r="O26" s="63" t="s">
        <v>156</v>
      </c>
      <c r="P26" s="64" t="s">
        <v>157</v>
      </c>
    </row>
    <row r="27" spans="1:16" ht="12.75" customHeight="1" thickBot="1" x14ac:dyDescent="0.25">
      <c r="A27" s="10" t="str">
        <f t="shared" si="0"/>
        <v>IBVS 5287 </v>
      </c>
      <c r="B27" s="15" t="str">
        <f t="shared" si="1"/>
        <v>I</v>
      </c>
      <c r="C27" s="10">
        <f t="shared" si="2"/>
        <v>51776.524599999997</v>
      </c>
      <c r="D27" s="21" t="str">
        <f t="shared" si="3"/>
        <v>vis</v>
      </c>
      <c r="E27" s="60">
        <f>VLOOKUP(C27,Active!C$21:E$972,3,FALSE)</f>
        <v>25007.930408690576</v>
      </c>
      <c r="F27" s="15" t="s">
        <v>74</v>
      </c>
      <c r="G27" s="21" t="str">
        <f t="shared" si="4"/>
        <v>51776.5246</v>
      </c>
      <c r="H27" s="10">
        <f t="shared" si="5"/>
        <v>25008</v>
      </c>
      <c r="I27" s="61" t="s">
        <v>161</v>
      </c>
      <c r="J27" s="62" t="s">
        <v>162</v>
      </c>
      <c r="K27" s="61">
        <v>25008</v>
      </c>
      <c r="L27" s="61" t="s">
        <v>163</v>
      </c>
      <c r="M27" s="62" t="s">
        <v>101</v>
      </c>
      <c r="N27" s="62" t="s">
        <v>102</v>
      </c>
      <c r="O27" s="63" t="s">
        <v>126</v>
      </c>
      <c r="P27" s="64" t="s">
        <v>150</v>
      </c>
    </row>
    <row r="28" spans="1:16" ht="12.75" customHeight="1" thickBot="1" x14ac:dyDescent="0.25">
      <c r="A28" s="10" t="str">
        <f t="shared" si="0"/>
        <v>IBVS 5287 </v>
      </c>
      <c r="B28" s="15" t="str">
        <f t="shared" si="1"/>
        <v>I</v>
      </c>
      <c r="C28" s="10">
        <f t="shared" si="2"/>
        <v>51778.3897</v>
      </c>
      <c r="D28" s="21" t="str">
        <f t="shared" si="3"/>
        <v>vis</v>
      </c>
      <c r="E28" s="60">
        <f>VLOOKUP(C28,Active!C$21:E$972,3,FALSE)</f>
        <v>25011.930572377511</v>
      </c>
      <c r="F28" s="15" t="s">
        <v>74</v>
      </c>
      <c r="G28" s="21" t="str">
        <f t="shared" si="4"/>
        <v>51778.3897</v>
      </c>
      <c r="H28" s="10">
        <f t="shared" si="5"/>
        <v>25012</v>
      </c>
      <c r="I28" s="61" t="s">
        <v>164</v>
      </c>
      <c r="J28" s="62" t="s">
        <v>165</v>
      </c>
      <c r="K28" s="61">
        <v>25012</v>
      </c>
      <c r="L28" s="61" t="s">
        <v>163</v>
      </c>
      <c r="M28" s="62" t="s">
        <v>101</v>
      </c>
      <c r="N28" s="62" t="s">
        <v>102</v>
      </c>
      <c r="O28" s="63" t="s">
        <v>126</v>
      </c>
      <c r="P28" s="64" t="s">
        <v>150</v>
      </c>
    </row>
    <row r="29" spans="1:16" ht="12.75" customHeight="1" thickBot="1" x14ac:dyDescent="0.25">
      <c r="A29" s="10" t="str">
        <f t="shared" si="0"/>
        <v>IBVS 5287 </v>
      </c>
      <c r="B29" s="15" t="str">
        <f t="shared" si="1"/>
        <v>I</v>
      </c>
      <c r="C29" s="10">
        <f t="shared" si="2"/>
        <v>51841.335899999998</v>
      </c>
      <c r="D29" s="21" t="str">
        <f t="shared" si="3"/>
        <v>vis</v>
      </c>
      <c r="E29" s="60">
        <f>VLOOKUP(C29,Active!C$21:E$972,3,FALSE)</f>
        <v>25146.934112922369</v>
      </c>
      <c r="F29" s="15" t="s">
        <v>74</v>
      </c>
      <c r="G29" s="21" t="str">
        <f t="shared" si="4"/>
        <v>51841.3359</v>
      </c>
      <c r="H29" s="10">
        <f t="shared" si="5"/>
        <v>25147</v>
      </c>
      <c r="I29" s="61" t="s">
        <v>166</v>
      </c>
      <c r="J29" s="62" t="s">
        <v>167</v>
      </c>
      <c r="K29" s="61">
        <v>25147</v>
      </c>
      <c r="L29" s="61" t="s">
        <v>168</v>
      </c>
      <c r="M29" s="62" t="s">
        <v>101</v>
      </c>
      <c r="N29" s="62" t="s">
        <v>102</v>
      </c>
      <c r="O29" s="63" t="s">
        <v>126</v>
      </c>
      <c r="P29" s="64" t="s">
        <v>150</v>
      </c>
    </row>
    <row r="30" spans="1:16" ht="12.75" customHeight="1" thickBot="1" x14ac:dyDescent="0.25">
      <c r="A30" s="10" t="str">
        <f t="shared" si="0"/>
        <v>OEJV 0074 </v>
      </c>
      <c r="B30" s="15" t="str">
        <f t="shared" si="1"/>
        <v>I</v>
      </c>
      <c r="C30" s="10">
        <f t="shared" si="2"/>
        <v>52122.483399999997</v>
      </c>
      <c r="D30" s="21" t="str">
        <f t="shared" si="3"/>
        <v>vis</v>
      </c>
      <c r="E30" s="60">
        <f>VLOOKUP(C30,Active!C$21:E$972,3,FALSE)</f>
        <v>25749.923775766754</v>
      </c>
      <c r="F30" s="15" t="s">
        <v>74</v>
      </c>
      <c r="G30" s="21" t="str">
        <f t="shared" si="4"/>
        <v>52122.48340</v>
      </c>
      <c r="H30" s="10">
        <f t="shared" si="5"/>
        <v>25750</v>
      </c>
      <c r="I30" s="61" t="s">
        <v>169</v>
      </c>
      <c r="J30" s="62" t="s">
        <v>170</v>
      </c>
      <c r="K30" s="61">
        <v>25750</v>
      </c>
      <c r="L30" s="61" t="s">
        <v>171</v>
      </c>
      <c r="M30" s="62" t="s">
        <v>154</v>
      </c>
      <c r="N30" s="62" t="s">
        <v>155</v>
      </c>
      <c r="O30" s="63" t="s">
        <v>156</v>
      </c>
      <c r="P30" s="64" t="s">
        <v>157</v>
      </c>
    </row>
    <row r="31" spans="1:16" ht="12.75" customHeight="1" thickBot="1" x14ac:dyDescent="0.25">
      <c r="A31" s="10" t="str">
        <f t="shared" si="0"/>
        <v>OEJV 0074 </v>
      </c>
      <c r="B31" s="15" t="str">
        <f t="shared" si="1"/>
        <v>I</v>
      </c>
      <c r="C31" s="10">
        <f t="shared" si="2"/>
        <v>52137.407200000001</v>
      </c>
      <c r="D31" s="21" t="str">
        <f t="shared" si="3"/>
        <v>vis</v>
      </c>
      <c r="E31" s="60">
        <f>VLOOKUP(C31,Active!C$21:E$972,3,FALSE)</f>
        <v>25781.931519496859</v>
      </c>
      <c r="F31" s="15" t="s">
        <v>74</v>
      </c>
      <c r="G31" s="21" t="str">
        <f t="shared" si="4"/>
        <v>52137.40720</v>
      </c>
      <c r="H31" s="10">
        <f t="shared" si="5"/>
        <v>25782</v>
      </c>
      <c r="I31" s="61" t="s">
        <v>172</v>
      </c>
      <c r="J31" s="62" t="s">
        <v>173</v>
      </c>
      <c r="K31" s="61">
        <v>25782</v>
      </c>
      <c r="L31" s="61" t="s">
        <v>174</v>
      </c>
      <c r="M31" s="62" t="s">
        <v>154</v>
      </c>
      <c r="N31" s="62" t="s">
        <v>155</v>
      </c>
      <c r="O31" s="63" t="s">
        <v>175</v>
      </c>
      <c r="P31" s="64" t="s">
        <v>157</v>
      </c>
    </row>
    <row r="32" spans="1:16" ht="12.75" customHeight="1" thickBot="1" x14ac:dyDescent="0.25">
      <c r="A32" s="10" t="str">
        <f t="shared" si="0"/>
        <v>OEJV 0074 </v>
      </c>
      <c r="B32" s="15" t="str">
        <f t="shared" si="1"/>
        <v>I</v>
      </c>
      <c r="C32" s="10">
        <f t="shared" si="2"/>
        <v>52488.491099999999</v>
      </c>
      <c r="D32" s="21" t="str">
        <f t="shared" si="3"/>
        <v>vis</v>
      </c>
      <c r="E32" s="60">
        <f>VLOOKUP(C32,Active!C$21:E$972,3,FALSE)</f>
        <v>26534.916918588409</v>
      </c>
      <c r="F32" s="15" t="s">
        <v>74</v>
      </c>
      <c r="G32" s="21" t="str">
        <f t="shared" si="4"/>
        <v>52488.49110</v>
      </c>
      <c r="H32" s="10">
        <f t="shared" si="5"/>
        <v>26535</v>
      </c>
      <c r="I32" s="61" t="s">
        <v>176</v>
      </c>
      <c r="J32" s="62" t="s">
        <v>177</v>
      </c>
      <c r="K32" s="61">
        <v>26535</v>
      </c>
      <c r="L32" s="61" t="s">
        <v>178</v>
      </c>
      <c r="M32" s="62" t="s">
        <v>154</v>
      </c>
      <c r="N32" s="62" t="s">
        <v>155</v>
      </c>
      <c r="O32" s="63" t="s">
        <v>156</v>
      </c>
      <c r="P32" s="64" t="s">
        <v>157</v>
      </c>
    </row>
    <row r="33" spans="1:16" ht="12.75" customHeight="1" thickBot="1" x14ac:dyDescent="0.25">
      <c r="A33" s="10" t="str">
        <f t="shared" si="0"/>
        <v>IBVS 5603 </v>
      </c>
      <c r="B33" s="15" t="str">
        <f t="shared" si="1"/>
        <v>I</v>
      </c>
      <c r="C33" s="10">
        <f t="shared" si="2"/>
        <v>53139.849099999999</v>
      </c>
      <c r="D33" s="21" t="str">
        <f t="shared" si="3"/>
        <v>vis</v>
      </c>
      <c r="E33" s="60">
        <f>VLOOKUP(C33,Active!C$21:E$972,3,FALSE)</f>
        <v>27931.913658061443</v>
      </c>
      <c r="F33" s="15" t="s">
        <v>74</v>
      </c>
      <c r="G33" s="21" t="str">
        <f t="shared" si="4"/>
        <v>53139.8491</v>
      </c>
      <c r="H33" s="10">
        <f t="shared" si="5"/>
        <v>27932</v>
      </c>
      <c r="I33" s="61" t="s">
        <v>179</v>
      </c>
      <c r="J33" s="62" t="s">
        <v>180</v>
      </c>
      <c r="K33" s="61">
        <v>27932</v>
      </c>
      <c r="L33" s="61" t="s">
        <v>181</v>
      </c>
      <c r="M33" s="62" t="s">
        <v>101</v>
      </c>
      <c r="N33" s="62" t="s">
        <v>102</v>
      </c>
      <c r="O33" s="63" t="s">
        <v>182</v>
      </c>
      <c r="P33" s="64" t="s">
        <v>183</v>
      </c>
    </row>
    <row r="34" spans="1:16" ht="12.75" customHeight="1" thickBot="1" x14ac:dyDescent="0.25">
      <c r="A34" s="10" t="str">
        <f t="shared" si="0"/>
        <v> BBS 130 </v>
      </c>
      <c r="B34" s="15" t="str">
        <f t="shared" si="1"/>
        <v>I</v>
      </c>
      <c r="C34" s="10">
        <f t="shared" si="2"/>
        <v>53179.483999999997</v>
      </c>
      <c r="D34" s="21" t="str">
        <f t="shared" si="3"/>
        <v>vis</v>
      </c>
      <c r="E34" s="60">
        <f>VLOOKUP(C34,Active!C$21:E$972,3,FALSE)</f>
        <v>28016.920407144644</v>
      </c>
      <c r="F34" s="15" t="s">
        <v>74</v>
      </c>
      <c r="G34" s="21" t="str">
        <f t="shared" si="4"/>
        <v>53179.484</v>
      </c>
      <c r="H34" s="10">
        <f t="shared" si="5"/>
        <v>28017</v>
      </c>
      <c r="I34" s="61" t="s">
        <v>184</v>
      </c>
      <c r="J34" s="62" t="s">
        <v>185</v>
      </c>
      <c r="K34" s="61">
        <v>28017</v>
      </c>
      <c r="L34" s="61" t="s">
        <v>186</v>
      </c>
      <c r="M34" s="62" t="s">
        <v>79</v>
      </c>
      <c r="N34" s="62"/>
      <c r="O34" s="63" t="s">
        <v>187</v>
      </c>
      <c r="P34" s="63" t="s">
        <v>188</v>
      </c>
    </row>
    <row r="35" spans="1:16" ht="12.75" customHeight="1" thickBot="1" x14ac:dyDescent="0.25">
      <c r="A35" s="10" t="str">
        <f t="shared" si="0"/>
        <v>OEJV 0074 </v>
      </c>
      <c r="B35" s="15" t="str">
        <f t="shared" si="1"/>
        <v>I</v>
      </c>
      <c r="C35" s="10">
        <f t="shared" si="2"/>
        <v>53227.505250000002</v>
      </c>
      <c r="D35" s="21" t="str">
        <f t="shared" si="3"/>
        <v>vis</v>
      </c>
      <c r="E35" s="60">
        <f>VLOOKUP(C35,Active!C$21:E$972,3,FALSE)</f>
        <v>28119.913737502797</v>
      </c>
      <c r="F35" s="15" t="s">
        <v>74</v>
      </c>
      <c r="G35" s="21" t="str">
        <f t="shared" si="4"/>
        <v>53227.50525</v>
      </c>
      <c r="H35" s="10">
        <f t="shared" si="5"/>
        <v>28120</v>
      </c>
      <c r="I35" s="61" t="s">
        <v>189</v>
      </c>
      <c r="J35" s="62" t="s">
        <v>190</v>
      </c>
      <c r="K35" s="61">
        <v>28120</v>
      </c>
      <c r="L35" s="61" t="s">
        <v>191</v>
      </c>
      <c r="M35" s="62" t="s">
        <v>154</v>
      </c>
      <c r="N35" s="62" t="s">
        <v>67</v>
      </c>
      <c r="O35" s="63" t="s">
        <v>192</v>
      </c>
      <c r="P35" s="64" t="s">
        <v>157</v>
      </c>
    </row>
    <row r="36" spans="1:16" ht="12.75" customHeight="1" thickBot="1" x14ac:dyDescent="0.25">
      <c r="A36" s="10" t="str">
        <f t="shared" si="0"/>
        <v>OEJV 0003 </v>
      </c>
      <c r="B36" s="15" t="str">
        <f t="shared" si="1"/>
        <v>I</v>
      </c>
      <c r="C36" s="10">
        <f t="shared" si="2"/>
        <v>53233.559000000001</v>
      </c>
      <c r="D36" s="21" t="str">
        <f t="shared" si="3"/>
        <v>vis</v>
      </c>
      <c r="E36" s="60">
        <f>VLOOKUP(C36,Active!C$21:E$972,3,FALSE)</f>
        <v>28132.897486856586</v>
      </c>
      <c r="F36" s="15" t="s">
        <v>74</v>
      </c>
      <c r="G36" s="21" t="str">
        <f t="shared" si="4"/>
        <v>53233.559</v>
      </c>
      <c r="H36" s="10">
        <f t="shared" si="5"/>
        <v>28133</v>
      </c>
      <c r="I36" s="61" t="s">
        <v>193</v>
      </c>
      <c r="J36" s="62" t="s">
        <v>194</v>
      </c>
      <c r="K36" s="61">
        <v>28133</v>
      </c>
      <c r="L36" s="61" t="s">
        <v>195</v>
      </c>
      <c r="M36" s="62" t="s">
        <v>79</v>
      </c>
      <c r="N36" s="62"/>
      <c r="O36" s="63" t="s">
        <v>187</v>
      </c>
      <c r="P36" s="64" t="s">
        <v>196</v>
      </c>
    </row>
    <row r="37" spans="1:16" ht="12.75" customHeight="1" thickBot="1" x14ac:dyDescent="0.25">
      <c r="A37" s="10" t="str">
        <f t="shared" si="0"/>
        <v>BAVM 173 </v>
      </c>
      <c r="B37" s="15" t="str">
        <f t="shared" si="1"/>
        <v>II</v>
      </c>
      <c r="C37" s="10">
        <f t="shared" si="2"/>
        <v>53259.439700000003</v>
      </c>
      <c r="D37" s="21" t="str">
        <f t="shared" si="3"/>
        <v>vis</v>
      </c>
      <c r="E37" s="60">
        <f>VLOOKUP(C37,Active!C$21:E$972,3,FALSE)</f>
        <v>28188.404985828398</v>
      </c>
      <c r="F37" s="15" t="s">
        <v>74</v>
      </c>
      <c r="G37" s="21" t="str">
        <f t="shared" si="4"/>
        <v>53259.4397</v>
      </c>
      <c r="H37" s="10">
        <f t="shared" si="5"/>
        <v>28188.5</v>
      </c>
      <c r="I37" s="61" t="s">
        <v>202</v>
      </c>
      <c r="J37" s="62" t="s">
        <v>203</v>
      </c>
      <c r="K37" s="61">
        <v>28188.5</v>
      </c>
      <c r="L37" s="61" t="s">
        <v>204</v>
      </c>
      <c r="M37" s="62" t="s">
        <v>101</v>
      </c>
      <c r="N37" s="62" t="s">
        <v>155</v>
      </c>
      <c r="O37" s="63" t="s">
        <v>205</v>
      </c>
      <c r="P37" s="64" t="s">
        <v>206</v>
      </c>
    </row>
    <row r="38" spans="1:16" ht="12.75" customHeight="1" thickBot="1" x14ac:dyDescent="0.25">
      <c r="A38" s="10" t="str">
        <f t="shared" si="0"/>
        <v>IBVS 5920 </v>
      </c>
      <c r="B38" s="15" t="str">
        <f t="shared" si="1"/>
        <v>II</v>
      </c>
      <c r="C38" s="10">
        <f t="shared" si="2"/>
        <v>55114.689599999998</v>
      </c>
      <c r="D38" s="21" t="str">
        <f t="shared" si="3"/>
        <v>vis</v>
      </c>
      <c r="E38" s="60">
        <f>VLOOKUP(C38,Active!C$21:E$972,3,FALSE)</f>
        <v>32167.442721156229</v>
      </c>
      <c r="F38" s="15" t="s">
        <v>74</v>
      </c>
      <c r="G38" s="21" t="str">
        <f t="shared" si="4"/>
        <v>55114.6896</v>
      </c>
      <c r="H38" s="10">
        <f t="shared" si="5"/>
        <v>32167.5</v>
      </c>
      <c r="I38" s="61" t="s">
        <v>227</v>
      </c>
      <c r="J38" s="62" t="s">
        <v>228</v>
      </c>
      <c r="K38" s="61" t="s">
        <v>229</v>
      </c>
      <c r="L38" s="61" t="s">
        <v>230</v>
      </c>
      <c r="M38" s="62" t="s">
        <v>154</v>
      </c>
      <c r="N38" s="62" t="s">
        <v>74</v>
      </c>
      <c r="O38" s="63" t="s">
        <v>108</v>
      </c>
      <c r="P38" s="64" t="s">
        <v>231</v>
      </c>
    </row>
    <row r="39" spans="1:16" ht="12.75" customHeight="1" thickBot="1" x14ac:dyDescent="0.25">
      <c r="A39" s="10" t="str">
        <f t="shared" si="0"/>
        <v>BAVM 214 </v>
      </c>
      <c r="B39" s="15" t="str">
        <f t="shared" si="1"/>
        <v>I</v>
      </c>
      <c r="C39" s="10">
        <f t="shared" si="2"/>
        <v>55306.525999999998</v>
      </c>
      <c r="D39" s="21" t="str">
        <f t="shared" si="3"/>
        <v>vis</v>
      </c>
      <c r="E39" s="60">
        <f>VLOOKUP(C39,Active!C$21:E$972,3,FALSE)</f>
        <v>32578.882859010137</v>
      </c>
      <c r="F39" s="15" t="s">
        <v>74</v>
      </c>
      <c r="G39" s="21" t="str">
        <f t="shared" si="4"/>
        <v>55306.5260</v>
      </c>
      <c r="H39" s="10">
        <f t="shared" si="5"/>
        <v>32579</v>
      </c>
      <c r="I39" s="61" t="s">
        <v>232</v>
      </c>
      <c r="J39" s="62" t="s">
        <v>233</v>
      </c>
      <c r="K39" s="61" t="s">
        <v>234</v>
      </c>
      <c r="L39" s="61" t="s">
        <v>235</v>
      </c>
      <c r="M39" s="62" t="s">
        <v>154</v>
      </c>
      <c r="N39" s="62" t="s">
        <v>155</v>
      </c>
      <c r="O39" s="63" t="s">
        <v>236</v>
      </c>
      <c r="P39" s="64" t="s">
        <v>237</v>
      </c>
    </row>
    <row r="40" spans="1:16" ht="12.75" customHeight="1" thickBot="1" x14ac:dyDescent="0.25">
      <c r="A40" s="10" t="str">
        <f t="shared" si="0"/>
        <v>BAVM 214 </v>
      </c>
      <c r="B40" s="15" t="str">
        <f t="shared" si="1"/>
        <v>II</v>
      </c>
      <c r="C40" s="10">
        <f t="shared" si="2"/>
        <v>55372.501799999998</v>
      </c>
      <c r="D40" s="21" t="str">
        <f t="shared" si="3"/>
        <v>vis</v>
      </c>
      <c r="E40" s="60">
        <f>VLOOKUP(C40,Active!C$21:E$972,3,FALSE)</f>
        <v>32720.384118661703</v>
      </c>
      <c r="F40" s="15" t="s">
        <v>74</v>
      </c>
      <c r="G40" s="21" t="str">
        <f t="shared" si="4"/>
        <v>55372.5018</v>
      </c>
      <c r="H40" s="10">
        <f t="shared" si="5"/>
        <v>32720.5</v>
      </c>
      <c r="I40" s="61" t="s">
        <v>238</v>
      </c>
      <c r="J40" s="62" t="s">
        <v>239</v>
      </c>
      <c r="K40" s="61" t="s">
        <v>240</v>
      </c>
      <c r="L40" s="61" t="s">
        <v>241</v>
      </c>
      <c r="M40" s="62" t="s">
        <v>154</v>
      </c>
      <c r="N40" s="62" t="s">
        <v>216</v>
      </c>
      <c r="O40" s="63" t="s">
        <v>205</v>
      </c>
      <c r="P40" s="64" t="s">
        <v>237</v>
      </c>
    </row>
    <row r="41" spans="1:16" ht="12.75" customHeight="1" thickBot="1" x14ac:dyDescent="0.25">
      <c r="A41" s="10" t="str">
        <f t="shared" si="0"/>
        <v>BAVM 215 </v>
      </c>
      <c r="B41" s="15" t="str">
        <f t="shared" si="1"/>
        <v>II</v>
      </c>
      <c r="C41" s="10">
        <f t="shared" si="2"/>
        <v>55462.489399999999</v>
      </c>
      <c r="D41" s="21" t="str">
        <f t="shared" si="3"/>
        <v>vis</v>
      </c>
      <c r="E41" s="60">
        <f>VLOOKUP(C41,Active!C$21:E$972,3,FALSE)</f>
        <v>32913.384563567583</v>
      </c>
      <c r="F41" s="15" t="s">
        <v>74</v>
      </c>
      <c r="G41" s="21" t="str">
        <f t="shared" si="4"/>
        <v>55462.4894</v>
      </c>
      <c r="H41" s="10">
        <f t="shared" si="5"/>
        <v>32913.5</v>
      </c>
      <c r="I41" s="61" t="s">
        <v>242</v>
      </c>
      <c r="J41" s="62" t="s">
        <v>243</v>
      </c>
      <c r="K41" s="61" t="s">
        <v>244</v>
      </c>
      <c r="L41" s="61" t="s">
        <v>245</v>
      </c>
      <c r="M41" s="62" t="s">
        <v>154</v>
      </c>
      <c r="N41" s="62" t="s">
        <v>216</v>
      </c>
      <c r="O41" s="63" t="s">
        <v>205</v>
      </c>
      <c r="P41" s="64" t="s">
        <v>246</v>
      </c>
    </row>
    <row r="42" spans="1:16" ht="12.75" customHeight="1" thickBot="1" x14ac:dyDescent="0.25">
      <c r="A42" s="10" t="str">
        <f t="shared" si="0"/>
        <v>IBVS 6011 </v>
      </c>
      <c r="B42" s="15" t="str">
        <f t="shared" si="1"/>
        <v>I</v>
      </c>
      <c r="C42" s="10">
        <f t="shared" si="2"/>
        <v>55849.708400000003</v>
      </c>
      <c r="D42" s="21" t="str">
        <f t="shared" si="3"/>
        <v>vis</v>
      </c>
      <c r="E42" s="60">
        <f>VLOOKUP(C42,Active!C$21:E$972,3,FALSE)</f>
        <v>33743.870533590234</v>
      </c>
      <c r="F42" s="15" t="s">
        <v>74</v>
      </c>
      <c r="G42" s="21" t="str">
        <f t="shared" si="4"/>
        <v>55849.7084</v>
      </c>
      <c r="H42" s="10">
        <f t="shared" si="5"/>
        <v>33744</v>
      </c>
      <c r="I42" s="61" t="s">
        <v>247</v>
      </c>
      <c r="J42" s="62" t="s">
        <v>248</v>
      </c>
      <c r="K42" s="61" t="s">
        <v>249</v>
      </c>
      <c r="L42" s="61" t="s">
        <v>250</v>
      </c>
      <c r="M42" s="62" t="s">
        <v>154</v>
      </c>
      <c r="N42" s="62" t="s">
        <v>74</v>
      </c>
      <c r="O42" s="63" t="s">
        <v>108</v>
      </c>
      <c r="P42" s="64" t="s">
        <v>251</v>
      </c>
    </row>
    <row r="43" spans="1:16" ht="12.75" customHeight="1" thickBot="1" x14ac:dyDescent="0.25">
      <c r="A43" s="10" t="str">
        <f t="shared" si="0"/>
        <v>IBVS 6042 </v>
      </c>
      <c r="B43" s="15" t="str">
        <f t="shared" si="1"/>
        <v>II</v>
      </c>
      <c r="C43" s="10">
        <f t="shared" si="2"/>
        <v>56219.6872</v>
      </c>
      <c r="D43" s="21" t="str">
        <f t="shared" si="3"/>
        <v>vis</v>
      </c>
      <c r="E43" s="60">
        <f>VLOOKUP(C43,Active!C$21:E$972,3,FALSE)</f>
        <v>34537.380672828782</v>
      </c>
      <c r="F43" s="15" t="s">
        <v>74</v>
      </c>
      <c r="G43" s="21" t="str">
        <f t="shared" si="4"/>
        <v>56219.6872</v>
      </c>
      <c r="H43" s="10">
        <f t="shared" si="5"/>
        <v>34537.5</v>
      </c>
      <c r="I43" s="61" t="s">
        <v>252</v>
      </c>
      <c r="J43" s="62" t="s">
        <v>253</v>
      </c>
      <c r="K43" s="61" t="s">
        <v>254</v>
      </c>
      <c r="L43" s="61" t="s">
        <v>255</v>
      </c>
      <c r="M43" s="62" t="s">
        <v>154</v>
      </c>
      <c r="N43" s="62" t="s">
        <v>74</v>
      </c>
      <c r="O43" s="63" t="s">
        <v>108</v>
      </c>
      <c r="P43" s="64" t="s">
        <v>256</v>
      </c>
    </row>
    <row r="44" spans="1:16" ht="12.75" customHeight="1" thickBot="1" x14ac:dyDescent="0.25">
      <c r="A44" s="10" t="str">
        <f t="shared" si="0"/>
        <v>BAVM 232 </v>
      </c>
      <c r="B44" s="15" t="str">
        <f t="shared" si="1"/>
        <v>II</v>
      </c>
      <c r="C44" s="10">
        <f t="shared" si="2"/>
        <v>56491.5098</v>
      </c>
      <c r="D44" s="21" t="str">
        <f t="shared" si="3"/>
        <v>vis</v>
      </c>
      <c r="E44" s="60">
        <f>VLOOKUP(C44,Active!C$21:E$972,3,FALSE)</f>
        <v>35120.370804085454</v>
      </c>
      <c r="F44" s="15" t="s">
        <v>74</v>
      </c>
      <c r="G44" s="21" t="str">
        <f t="shared" si="4"/>
        <v>56491.5098</v>
      </c>
      <c r="H44" s="10">
        <f t="shared" si="5"/>
        <v>35120.5</v>
      </c>
      <c r="I44" s="61" t="s">
        <v>257</v>
      </c>
      <c r="J44" s="62" t="s">
        <v>258</v>
      </c>
      <c r="K44" s="61" t="s">
        <v>259</v>
      </c>
      <c r="L44" s="61" t="s">
        <v>260</v>
      </c>
      <c r="M44" s="62" t="s">
        <v>154</v>
      </c>
      <c r="N44" s="62" t="s">
        <v>216</v>
      </c>
      <c r="O44" s="63" t="s">
        <v>205</v>
      </c>
      <c r="P44" s="64" t="s">
        <v>261</v>
      </c>
    </row>
    <row r="45" spans="1:16" ht="12.75" customHeight="1" thickBot="1" x14ac:dyDescent="0.25">
      <c r="A45" s="10" t="str">
        <f t="shared" si="0"/>
        <v> BRNO 32 </v>
      </c>
      <c r="B45" s="15" t="str">
        <f t="shared" si="1"/>
        <v>I</v>
      </c>
      <c r="C45" s="10">
        <f t="shared" si="2"/>
        <v>49926.436000000002</v>
      </c>
      <c r="D45" s="21" t="str">
        <f t="shared" si="3"/>
        <v>vis</v>
      </c>
      <c r="E45" s="60">
        <f>VLOOKUP(C45,Active!C$21:E$972,3,FALSE)</f>
        <v>21039.962345142998</v>
      </c>
      <c r="F45" s="15" t="s">
        <v>74</v>
      </c>
      <c r="G45" s="21" t="str">
        <f t="shared" si="4"/>
        <v>49926.4360</v>
      </c>
      <c r="H45" s="10">
        <f t="shared" si="5"/>
        <v>21040</v>
      </c>
      <c r="I45" s="61" t="s">
        <v>76</v>
      </c>
      <c r="J45" s="62" t="s">
        <v>77</v>
      </c>
      <c r="K45" s="61">
        <v>21040</v>
      </c>
      <c r="L45" s="61" t="s">
        <v>78</v>
      </c>
      <c r="M45" s="62" t="s">
        <v>79</v>
      </c>
      <c r="N45" s="62"/>
      <c r="O45" s="63" t="s">
        <v>80</v>
      </c>
      <c r="P45" s="63" t="s">
        <v>81</v>
      </c>
    </row>
    <row r="46" spans="1:16" ht="12.75" customHeight="1" thickBot="1" x14ac:dyDescent="0.25">
      <c r="A46" s="10" t="str">
        <f t="shared" si="0"/>
        <v> BRNO 32 </v>
      </c>
      <c r="B46" s="15" t="str">
        <f t="shared" si="1"/>
        <v>I</v>
      </c>
      <c r="C46" s="10">
        <f t="shared" si="2"/>
        <v>49926.440199999997</v>
      </c>
      <c r="D46" s="21" t="str">
        <f t="shared" si="3"/>
        <v>vis</v>
      </c>
      <c r="E46" s="60">
        <f>VLOOKUP(C46,Active!C$21:E$972,3,FALSE)</f>
        <v>21039.971353071509</v>
      </c>
      <c r="F46" s="15" t="s">
        <v>74</v>
      </c>
      <c r="G46" s="21" t="str">
        <f t="shared" si="4"/>
        <v>49926.4402</v>
      </c>
      <c r="H46" s="10">
        <f t="shared" si="5"/>
        <v>21040</v>
      </c>
      <c r="I46" s="61" t="s">
        <v>82</v>
      </c>
      <c r="J46" s="62" t="s">
        <v>83</v>
      </c>
      <c r="K46" s="61">
        <v>21040</v>
      </c>
      <c r="L46" s="61" t="s">
        <v>84</v>
      </c>
      <c r="M46" s="62" t="s">
        <v>79</v>
      </c>
      <c r="N46" s="62"/>
      <c r="O46" s="63" t="s">
        <v>85</v>
      </c>
      <c r="P46" s="63" t="s">
        <v>81</v>
      </c>
    </row>
    <row r="47" spans="1:16" ht="12.75" customHeight="1" thickBot="1" x14ac:dyDescent="0.25">
      <c r="A47" s="10" t="str">
        <f t="shared" si="0"/>
        <v> BRNO 32 </v>
      </c>
      <c r="B47" s="15" t="str">
        <f t="shared" si="1"/>
        <v>I</v>
      </c>
      <c r="C47" s="10">
        <f t="shared" si="2"/>
        <v>49926.4499</v>
      </c>
      <c r="D47" s="21" t="str">
        <f t="shared" si="3"/>
        <v>vis</v>
      </c>
      <c r="E47" s="60">
        <f>VLOOKUP(C47,Active!C$21:E$972,3,FALSE)</f>
        <v>21039.992157096909</v>
      </c>
      <c r="F47" s="15" t="s">
        <v>74</v>
      </c>
      <c r="G47" s="21" t="str">
        <f t="shared" si="4"/>
        <v>49926.4499</v>
      </c>
      <c r="H47" s="10">
        <f t="shared" si="5"/>
        <v>21040</v>
      </c>
      <c r="I47" s="61" t="s">
        <v>86</v>
      </c>
      <c r="J47" s="62" t="s">
        <v>87</v>
      </c>
      <c r="K47" s="61">
        <v>21040</v>
      </c>
      <c r="L47" s="61" t="s">
        <v>88</v>
      </c>
      <c r="M47" s="62" t="s">
        <v>79</v>
      </c>
      <c r="N47" s="62"/>
      <c r="O47" s="63" t="s">
        <v>89</v>
      </c>
      <c r="P47" s="63" t="s">
        <v>81</v>
      </c>
    </row>
    <row r="48" spans="1:16" ht="12.75" customHeight="1" thickBot="1" x14ac:dyDescent="0.25">
      <c r="A48" s="10" t="str">
        <f t="shared" si="0"/>
        <v> BRNO 32 </v>
      </c>
      <c r="B48" s="15" t="str">
        <f t="shared" si="1"/>
        <v>I</v>
      </c>
      <c r="C48" s="10">
        <f t="shared" si="2"/>
        <v>49926.453399999999</v>
      </c>
      <c r="D48" s="21" t="str">
        <f t="shared" si="3"/>
        <v>vis</v>
      </c>
      <c r="E48" s="60">
        <f>VLOOKUP(C48,Active!C$21:E$972,3,FALSE)</f>
        <v>21039.999663704006</v>
      </c>
      <c r="F48" s="15" t="s">
        <v>74</v>
      </c>
      <c r="G48" s="21" t="str">
        <f t="shared" si="4"/>
        <v>49926.4534</v>
      </c>
      <c r="H48" s="10">
        <f t="shared" si="5"/>
        <v>21040</v>
      </c>
      <c r="I48" s="61" t="s">
        <v>90</v>
      </c>
      <c r="J48" s="62" t="s">
        <v>91</v>
      </c>
      <c r="K48" s="61">
        <v>21040</v>
      </c>
      <c r="L48" s="61" t="s">
        <v>92</v>
      </c>
      <c r="M48" s="62" t="s">
        <v>79</v>
      </c>
      <c r="N48" s="62"/>
      <c r="O48" s="63" t="s">
        <v>93</v>
      </c>
      <c r="P48" s="63" t="s">
        <v>81</v>
      </c>
    </row>
    <row r="49" spans="1:16" ht="12.75" customHeight="1" thickBot="1" x14ac:dyDescent="0.25">
      <c r="A49" s="10" t="str">
        <f t="shared" si="0"/>
        <v> BRNO 32 </v>
      </c>
      <c r="B49" s="15" t="str">
        <f t="shared" si="1"/>
        <v>I</v>
      </c>
      <c r="C49" s="10">
        <f t="shared" si="2"/>
        <v>49926.456200000001</v>
      </c>
      <c r="D49" s="21" t="str">
        <f t="shared" si="3"/>
        <v>vis</v>
      </c>
      <c r="E49" s="60">
        <f>VLOOKUP(C49,Active!C$21:E$972,3,FALSE)</f>
        <v>21040.005668989692</v>
      </c>
      <c r="F49" s="15" t="s">
        <v>74</v>
      </c>
      <c r="G49" s="21" t="str">
        <f t="shared" si="4"/>
        <v>49926.4562</v>
      </c>
      <c r="H49" s="10">
        <f t="shared" si="5"/>
        <v>21040</v>
      </c>
      <c r="I49" s="61" t="s">
        <v>94</v>
      </c>
      <c r="J49" s="62" t="s">
        <v>95</v>
      </c>
      <c r="K49" s="61">
        <v>21040</v>
      </c>
      <c r="L49" s="61" t="s">
        <v>96</v>
      </c>
      <c r="M49" s="62" t="s">
        <v>79</v>
      </c>
      <c r="N49" s="62"/>
      <c r="O49" s="63" t="s">
        <v>97</v>
      </c>
      <c r="P49" s="63" t="s">
        <v>81</v>
      </c>
    </row>
    <row r="50" spans="1:16" ht="12.75" customHeight="1" thickBot="1" x14ac:dyDescent="0.25">
      <c r="A50" s="10" t="str">
        <f t="shared" si="0"/>
        <v>IBVS 5741 </v>
      </c>
      <c r="B50" s="15" t="str">
        <f t="shared" si="1"/>
        <v>I</v>
      </c>
      <c r="C50" s="10">
        <f t="shared" si="2"/>
        <v>53256.415000000001</v>
      </c>
      <c r="D50" s="21" t="str">
        <f t="shared" si="3"/>
        <v>vis</v>
      </c>
      <c r="E50" s="60">
        <f>VLOOKUP(C50,Active!C$21:E$972,3,FALSE)</f>
        <v>28181.917775971626</v>
      </c>
      <c r="F50" s="15" t="s">
        <v>74</v>
      </c>
      <c r="G50" s="21" t="str">
        <f t="shared" si="4"/>
        <v>53256.4150</v>
      </c>
      <c r="H50" s="10">
        <f t="shared" si="5"/>
        <v>28182</v>
      </c>
      <c r="I50" s="61" t="s">
        <v>197</v>
      </c>
      <c r="J50" s="62" t="s">
        <v>198</v>
      </c>
      <c r="K50" s="61">
        <v>28182</v>
      </c>
      <c r="L50" s="61" t="s">
        <v>199</v>
      </c>
      <c r="M50" s="62" t="s">
        <v>101</v>
      </c>
      <c r="N50" s="62" t="s">
        <v>102</v>
      </c>
      <c r="O50" s="63" t="s">
        <v>200</v>
      </c>
      <c r="P50" s="64" t="s">
        <v>201</v>
      </c>
    </row>
    <row r="51" spans="1:16" ht="12.75" customHeight="1" thickBot="1" x14ac:dyDescent="0.25">
      <c r="A51" s="10" t="str">
        <f t="shared" si="0"/>
        <v>OEJV 0107 </v>
      </c>
      <c r="B51" s="15" t="str">
        <f t="shared" si="1"/>
        <v>I</v>
      </c>
      <c r="C51" s="10">
        <f t="shared" si="2"/>
        <v>54298.489200000004</v>
      </c>
      <c r="D51" s="21" t="str">
        <f t="shared" si="3"/>
        <v>vis</v>
      </c>
      <c r="E51" s="60" t="e">
        <f>VLOOKUP(C51,Active!C$21:E$972,3,FALSE)</f>
        <v>#N/A</v>
      </c>
      <c r="F51" s="15" t="s">
        <v>74</v>
      </c>
      <c r="G51" s="21" t="str">
        <f t="shared" si="4"/>
        <v>54298.4892</v>
      </c>
      <c r="H51" s="10">
        <f t="shared" si="5"/>
        <v>30417</v>
      </c>
      <c r="I51" s="61" t="s">
        <v>207</v>
      </c>
      <c r="J51" s="62" t="s">
        <v>208</v>
      </c>
      <c r="K51" s="61">
        <v>30417</v>
      </c>
      <c r="L51" s="61" t="s">
        <v>209</v>
      </c>
      <c r="M51" s="62" t="s">
        <v>154</v>
      </c>
      <c r="N51" s="62" t="s">
        <v>210</v>
      </c>
      <c r="O51" s="63" t="s">
        <v>211</v>
      </c>
      <c r="P51" s="64" t="s">
        <v>212</v>
      </c>
    </row>
    <row r="52" spans="1:16" ht="12.75" customHeight="1" thickBot="1" x14ac:dyDescent="0.25">
      <c r="A52" s="10" t="str">
        <f t="shared" si="0"/>
        <v>BAVM 212 </v>
      </c>
      <c r="B52" s="15" t="str">
        <f t="shared" si="1"/>
        <v>I</v>
      </c>
      <c r="C52" s="10">
        <f t="shared" si="2"/>
        <v>55051.4876</v>
      </c>
      <c r="D52" s="21" t="str">
        <f t="shared" si="3"/>
        <v>vis</v>
      </c>
      <c r="E52" s="60">
        <f>VLOOKUP(C52,Active!C$21:E$972,3,FALSE)</f>
        <v>32031.890554869533</v>
      </c>
      <c r="F52" s="15" t="s">
        <v>74</v>
      </c>
      <c r="G52" s="21" t="str">
        <f t="shared" si="4"/>
        <v>55051.4876</v>
      </c>
      <c r="H52" s="10">
        <f t="shared" si="5"/>
        <v>32032</v>
      </c>
      <c r="I52" s="61" t="s">
        <v>213</v>
      </c>
      <c r="J52" s="62" t="s">
        <v>214</v>
      </c>
      <c r="K52" s="61">
        <v>32032</v>
      </c>
      <c r="L52" s="61" t="s">
        <v>215</v>
      </c>
      <c r="M52" s="62" t="s">
        <v>154</v>
      </c>
      <c r="N52" s="62" t="s">
        <v>216</v>
      </c>
      <c r="O52" s="63" t="s">
        <v>205</v>
      </c>
      <c r="P52" s="64" t="s">
        <v>217</v>
      </c>
    </row>
    <row r="53" spans="1:16" ht="12.75" customHeight="1" thickBot="1" x14ac:dyDescent="0.25">
      <c r="A53" s="10" t="str">
        <f t="shared" si="0"/>
        <v>BAVM 212 </v>
      </c>
      <c r="B53" s="15" t="str">
        <f t="shared" si="1"/>
        <v>II</v>
      </c>
      <c r="C53" s="10">
        <f t="shared" si="2"/>
        <v>55062.444300000003</v>
      </c>
      <c r="D53" s="21" t="str">
        <f t="shared" si="3"/>
        <v>vis</v>
      </c>
      <c r="E53" s="60">
        <f>VLOOKUP(C53,Active!C$21:E$972,3,FALSE)</f>
        <v>32055.389881162275</v>
      </c>
      <c r="F53" s="15" t="s">
        <v>74</v>
      </c>
      <c r="G53" s="21" t="str">
        <f t="shared" si="4"/>
        <v>55062.4443</v>
      </c>
      <c r="H53" s="10">
        <f t="shared" si="5"/>
        <v>32055.5</v>
      </c>
      <c r="I53" s="61" t="s">
        <v>218</v>
      </c>
      <c r="J53" s="62" t="s">
        <v>219</v>
      </c>
      <c r="K53" s="61" t="s">
        <v>220</v>
      </c>
      <c r="L53" s="61" t="s">
        <v>221</v>
      </c>
      <c r="M53" s="62" t="s">
        <v>154</v>
      </c>
      <c r="N53" s="62" t="s">
        <v>216</v>
      </c>
      <c r="O53" s="63" t="s">
        <v>205</v>
      </c>
      <c r="P53" s="64" t="s">
        <v>217</v>
      </c>
    </row>
    <row r="54" spans="1:16" ht="12.75" customHeight="1" thickBot="1" x14ac:dyDescent="0.25">
      <c r="A54" s="10" t="str">
        <f t="shared" si="0"/>
        <v>BAVM 212 </v>
      </c>
      <c r="B54" s="15" t="str">
        <f t="shared" si="1"/>
        <v>I</v>
      </c>
      <c r="C54" s="10">
        <f t="shared" si="2"/>
        <v>55074.332699999999</v>
      </c>
      <c r="D54" s="21" t="str">
        <f t="shared" si="3"/>
        <v>vis</v>
      </c>
      <c r="E54" s="60">
        <f>VLOOKUP(C54,Active!C$21:E$972,3,FALSE)</f>
        <v>32080.887466265314</v>
      </c>
      <c r="F54" s="15" t="s">
        <v>74</v>
      </c>
      <c r="G54" s="21" t="str">
        <f t="shared" si="4"/>
        <v>55074.3327</v>
      </c>
      <c r="H54" s="10">
        <f t="shared" si="5"/>
        <v>32081</v>
      </c>
      <c r="I54" s="61" t="s">
        <v>222</v>
      </c>
      <c r="J54" s="62" t="s">
        <v>223</v>
      </c>
      <c r="K54" s="61" t="s">
        <v>224</v>
      </c>
      <c r="L54" s="61" t="s">
        <v>225</v>
      </c>
      <c r="M54" s="62" t="s">
        <v>154</v>
      </c>
      <c r="N54" s="62" t="s">
        <v>155</v>
      </c>
      <c r="O54" s="63" t="s">
        <v>226</v>
      </c>
      <c r="P54" s="64" t="s">
        <v>217</v>
      </c>
    </row>
    <row r="55" spans="1:16" x14ac:dyDescent="0.2">
      <c r="B55" s="15"/>
      <c r="F55" s="15"/>
    </row>
    <row r="56" spans="1:16" x14ac:dyDescent="0.2">
      <c r="B56" s="15"/>
      <c r="F56" s="15"/>
    </row>
    <row r="57" spans="1:16" x14ac:dyDescent="0.2">
      <c r="B57" s="15"/>
      <c r="F57" s="15"/>
    </row>
    <row r="58" spans="1:16" x14ac:dyDescent="0.2">
      <c r="B58" s="15"/>
      <c r="F58" s="15"/>
    </row>
    <row r="59" spans="1:16" x14ac:dyDescent="0.2">
      <c r="B59" s="15"/>
      <c r="F59" s="15"/>
    </row>
    <row r="60" spans="1:16" x14ac:dyDescent="0.2">
      <c r="B60" s="15"/>
      <c r="F60" s="15"/>
    </row>
    <row r="61" spans="1:16" x14ac:dyDescent="0.2">
      <c r="B61" s="15"/>
      <c r="F61" s="15"/>
    </row>
    <row r="62" spans="1:16" x14ac:dyDescent="0.2">
      <c r="B62" s="15"/>
      <c r="F62" s="15"/>
    </row>
    <row r="63" spans="1:16" x14ac:dyDescent="0.2">
      <c r="B63" s="15"/>
      <c r="F63" s="15"/>
    </row>
    <row r="64" spans="1:16" x14ac:dyDescent="0.2">
      <c r="B64" s="15"/>
      <c r="F64" s="15"/>
    </row>
    <row r="65" spans="2:6" x14ac:dyDescent="0.2">
      <c r="B65" s="15"/>
      <c r="F65" s="15"/>
    </row>
    <row r="66" spans="2:6" x14ac:dyDescent="0.2">
      <c r="B66" s="15"/>
      <c r="F66" s="15"/>
    </row>
    <row r="67" spans="2:6" x14ac:dyDescent="0.2">
      <c r="B67" s="15"/>
      <c r="F67" s="15"/>
    </row>
    <row r="68" spans="2:6" x14ac:dyDescent="0.2">
      <c r="B68" s="15"/>
      <c r="F68" s="15"/>
    </row>
    <row r="69" spans="2:6" x14ac:dyDescent="0.2">
      <c r="B69" s="15"/>
      <c r="F69" s="15"/>
    </row>
    <row r="70" spans="2:6" x14ac:dyDescent="0.2">
      <c r="B70" s="15"/>
      <c r="F70" s="15"/>
    </row>
    <row r="71" spans="2:6" x14ac:dyDescent="0.2">
      <c r="B71" s="15"/>
      <c r="F71" s="15"/>
    </row>
    <row r="72" spans="2:6" x14ac:dyDescent="0.2">
      <c r="B72" s="15"/>
      <c r="F72" s="15"/>
    </row>
    <row r="73" spans="2:6" x14ac:dyDescent="0.2">
      <c r="B73" s="15"/>
      <c r="F73" s="15"/>
    </row>
    <row r="74" spans="2:6" x14ac:dyDescent="0.2">
      <c r="B74" s="15"/>
      <c r="F74" s="15"/>
    </row>
    <row r="75" spans="2:6" x14ac:dyDescent="0.2">
      <c r="B75" s="15"/>
      <c r="F75" s="15"/>
    </row>
    <row r="76" spans="2:6" x14ac:dyDescent="0.2">
      <c r="B76" s="15"/>
      <c r="F76" s="15"/>
    </row>
    <row r="77" spans="2:6" x14ac:dyDescent="0.2">
      <c r="B77" s="15"/>
      <c r="F77" s="15"/>
    </row>
    <row r="78" spans="2:6" x14ac:dyDescent="0.2">
      <c r="B78" s="15"/>
      <c r="F78" s="15"/>
    </row>
    <row r="79" spans="2:6" x14ac:dyDescent="0.2">
      <c r="B79" s="15"/>
      <c r="F79" s="15"/>
    </row>
    <row r="80" spans="2: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</sheetData>
  <phoneticPr fontId="7" type="noConversion"/>
  <hyperlinks>
    <hyperlink ref="P11" r:id="rId1" display="http://www.konkoly.hu/cgi-bin/IBVS?4887"/>
    <hyperlink ref="P13" r:id="rId2" display="http://www.konkoly.hu/cgi-bin/IBVS?4887"/>
    <hyperlink ref="P14" r:id="rId3" display="http://www.konkoly.hu/cgi-bin/IBVS?4887"/>
    <hyperlink ref="P15" r:id="rId4" display="http://www.konkoly.hu/cgi-bin/IBVS?4887"/>
    <hyperlink ref="P16" r:id="rId5" display="http://www.konkoly.hu/cgi-bin/IBVS?4887"/>
    <hyperlink ref="P17" r:id="rId6" display="http://www.konkoly.hu/cgi-bin/IBVS?4888"/>
    <hyperlink ref="P18" r:id="rId7" display="http://www.konkoly.hu/cgi-bin/IBVS?4888"/>
    <hyperlink ref="P19" r:id="rId8" display="http://www.konkoly.hu/cgi-bin/IBVS?4888"/>
    <hyperlink ref="P20" r:id="rId9" display="http://www.konkoly.hu/cgi-bin/IBVS?4888"/>
    <hyperlink ref="P21" r:id="rId10" display="http://www.konkoly.hu/cgi-bin/IBVS?4888"/>
    <hyperlink ref="P22" r:id="rId11" display="http://www.konkoly.hu/cgi-bin/IBVS?4888"/>
    <hyperlink ref="P23" r:id="rId12" display="http://www.konkoly.hu/cgi-bin/IBVS?5263"/>
    <hyperlink ref="P24" r:id="rId13" display="http://www.konkoly.hu/cgi-bin/IBVS?5287"/>
    <hyperlink ref="P25" r:id="rId14" display="http://var.astro.cz/oejv/issues/oejv0074.pdf"/>
    <hyperlink ref="P26" r:id="rId15" display="http://var.astro.cz/oejv/issues/oejv0074.pdf"/>
    <hyperlink ref="P27" r:id="rId16" display="http://www.konkoly.hu/cgi-bin/IBVS?5287"/>
    <hyperlink ref="P28" r:id="rId17" display="http://www.konkoly.hu/cgi-bin/IBVS?5287"/>
    <hyperlink ref="P29" r:id="rId18" display="http://www.konkoly.hu/cgi-bin/IBVS?5287"/>
    <hyperlink ref="P30" r:id="rId19" display="http://var.astro.cz/oejv/issues/oejv0074.pdf"/>
    <hyperlink ref="P31" r:id="rId20" display="http://var.astro.cz/oejv/issues/oejv0074.pdf"/>
    <hyperlink ref="P32" r:id="rId21" display="http://var.astro.cz/oejv/issues/oejv0074.pdf"/>
    <hyperlink ref="P33" r:id="rId22" display="http://www.konkoly.hu/cgi-bin/IBVS?5603"/>
    <hyperlink ref="P35" r:id="rId23" display="http://var.astro.cz/oejv/issues/oejv0074.pdf"/>
    <hyperlink ref="P36" r:id="rId24" display="http://var.astro.cz/oejv/issues/oejv0003.pdf"/>
    <hyperlink ref="P50" r:id="rId25" display="http://www.konkoly.hu/cgi-bin/IBVS?5741"/>
    <hyperlink ref="P37" r:id="rId26" display="http://www.bav-astro.de/sfs/BAVM_link.php?BAVMnr=173"/>
    <hyperlink ref="P51" r:id="rId27" display="http://var.astro.cz/oejv/issues/oejv0107.pdf"/>
    <hyperlink ref="P52" r:id="rId28" display="http://www.bav-astro.de/sfs/BAVM_link.php?BAVMnr=212"/>
    <hyperlink ref="P53" r:id="rId29" display="http://www.bav-astro.de/sfs/BAVM_link.php?BAVMnr=212"/>
    <hyperlink ref="P54" r:id="rId30" display="http://www.bav-astro.de/sfs/BAVM_link.php?BAVMnr=212"/>
    <hyperlink ref="P38" r:id="rId31" display="http://www.konkoly.hu/cgi-bin/IBVS?5920"/>
    <hyperlink ref="P39" r:id="rId32" display="http://www.bav-astro.de/sfs/BAVM_link.php?BAVMnr=214"/>
    <hyperlink ref="P40" r:id="rId33" display="http://www.bav-astro.de/sfs/BAVM_link.php?BAVMnr=214"/>
    <hyperlink ref="P41" r:id="rId34" display="http://www.bav-astro.de/sfs/BAVM_link.php?BAVMnr=215"/>
    <hyperlink ref="P42" r:id="rId35" display="http://www.konkoly.hu/cgi-bin/IBVS?6011"/>
    <hyperlink ref="P43" r:id="rId36" display="http://www.konkoly.hu/cgi-bin/IBVS?6042"/>
    <hyperlink ref="P44" r:id="rId37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2024-01-31T04:51:27Z</dcterms:modified>
</cp:coreProperties>
</file>