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E5208CA-4400-4E44-8493-FFE79FD40D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3" i="1"/>
  <c r="Q24" i="1"/>
  <c r="Q25" i="1"/>
  <c r="Q26" i="1"/>
  <c r="Q27" i="1"/>
  <c r="G12" i="2"/>
  <c r="C12" i="2"/>
  <c r="G11" i="2"/>
  <c r="C11" i="2"/>
  <c r="G18" i="2"/>
  <c r="C18" i="2"/>
  <c r="G17" i="2"/>
  <c r="C17" i="2"/>
  <c r="G16" i="2"/>
  <c r="C16" i="2"/>
  <c r="G15" i="2"/>
  <c r="C15" i="2"/>
  <c r="G14" i="2"/>
  <c r="C14" i="2"/>
  <c r="G13" i="2"/>
  <c r="C13" i="2"/>
  <c r="H12" i="2"/>
  <c r="B12" i="2"/>
  <c r="D12" i="2"/>
  <c r="A12" i="2"/>
  <c r="H11" i="2"/>
  <c r="D11" i="2"/>
  <c r="B11" i="2"/>
  <c r="A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Q29" i="1"/>
  <c r="Q28" i="1"/>
  <c r="C7" i="1"/>
  <c r="E21" i="1"/>
  <c r="F21" i="1"/>
  <c r="C8" i="1"/>
  <c r="F16" i="1"/>
  <c r="C17" i="1"/>
  <c r="Q22" i="1"/>
  <c r="E17" i="2"/>
  <c r="E13" i="2"/>
  <c r="E18" i="2"/>
  <c r="E11" i="2"/>
  <c r="E12" i="2"/>
  <c r="E22" i="1"/>
  <c r="F22" i="1"/>
  <c r="E26" i="1"/>
  <c r="F26" i="1"/>
  <c r="G26" i="1"/>
  <c r="H26" i="1"/>
  <c r="E23" i="1"/>
  <c r="F23" i="1"/>
  <c r="G23" i="1"/>
  <c r="H23" i="1"/>
  <c r="G22" i="1"/>
  <c r="E24" i="1"/>
  <c r="F24" i="1"/>
  <c r="G24" i="1"/>
  <c r="H24" i="1"/>
  <c r="E29" i="1"/>
  <c r="F29" i="1"/>
  <c r="G29" i="1"/>
  <c r="K29" i="1"/>
  <c r="G28" i="1"/>
  <c r="K28" i="1"/>
  <c r="G27" i="1"/>
  <c r="H27" i="1"/>
  <c r="E25" i="1"/>
  <c r="F25" i="1"/>
  <c r="G25" i="1"/>
  <c r="H25" i="1"/>
  <c r="G21" i="1"/>
  <c r="H21" i="1"/>
  <c r="E28" i="1"/>
  <c r="F28" i="1"/>
  <c r="E27" i="1"/>
  <c r="F27" i="1"/>
  <c r="H22" i="1"/>
  <c r="E16" i="2"/>
  <c r="E15" i="2"/>
  <c r="E14" i="2"/>
  <c r="C12" i="1"/>
  <c r="C11" i="1"/>
  <c r="O26" i="1" l="1"/>
  <c r="O28" i="1"/>
  <c r="O27" i="1"/>
  <c r="O24" i="1"/>
  <c r="C15" i="1"/>
  <c r="O29" i="1"/>
  <c r="O22" i="1"/>
  <c r="O21" i="1"/>
  <c r="O25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<sst xmlns="http://schemas.openxmlformats.org/spreadsheetml/2006/main" count="141" uniqueCount="91">
  <si>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</si>
  <si>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</si>
  <si>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</si>
  <si>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</si>
  <si>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</si>
  <si>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</si>
  <si>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</si>
  <si>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</si>
  <si>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</si>
  <si>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</si>
  <si>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</si>
  <si>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</si>
  <si>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</si>
  <si>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</si>
  <si>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</si>
  <si>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</si>
  <si>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</si>
  <si>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</si>
  <si>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</si>
  <si>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</si>
  <si>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</si>
  <si>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</si>
  <si>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</si>
  <si>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</si>
  <si>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</si>
  <si>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</si>
  <si>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</si>
  <si>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</si>
  <si>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</si>
  <si>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</si>
  <si>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</si>
  <si>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</si>
  <si>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</si>
  <si>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</si>
  <si>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</si>
  <si>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</si>
  <si>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</si>
  <si>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6010</t>
  </si>
  <si>
    <t>I</t>
  </si>
  <si>
    <t>EA</t>
  </si>
  <si>
    <t>V0743 Cyg / GSC 2166-0551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</si>
  <si>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</si>
  <si>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</si>
  <si>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</si>
  <si>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</si>
  <si>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</si>
  <si>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</si>
  <si>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</si>
  <si>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</si>
  <si>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</si>
  <si>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</si>
  <si>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</si>
  <si>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</si>
  <si>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2431020.310 </t>
  </si>
  <si>
    <t> 22.10.1943 19:26 </t>
  </si>
  <si>
    <t> -0.033 </t>
  </si>
  <si>
    <t>P </t>
  </si>
  <si>
    <t> E.Ahnert-Rohlfs </t>
  </si>
  <si>
    <t> VSS 2.141 </t>
  </si>
  <si>
    <t>2431326.505 </t>
  </si>
  <si>
    <t> 24.08.1944 00:07 </t>
  </si>
  <si>
    <t> 0.002 </t>
  </si>
  <si>
    <t>2431673.451 </t>
  </si>
  <si>
    <t> 05.08.1945 22:49 </t>
  </si>
  <si>
    <t> -0.034 </t>
  </si>
  <si>
    <t>2431763.285 </t>
  </si>
  <si>
    <t> 03.11.1945 18:50 </t>
  </si>
  <si>
    <t> -0.007 </t>
  </si>
  <si>
    <t>2454296.4533 </t>
  </si>
  <si>
    <t> 14.07.2007 22:52 </t>
  </si>
  <si>
    <t> -0.2520 </t>
  </si>
  <si>
    <t>C </t>
  </si>
  <si>
    <t>-I</t>
  </si>
  <si>
    <t> F.Agerer </t>
  </si>
  <si>
    <t>BAVM 193 </t>
  </si>
  <si>
    <t>2454298.4947 </t>
  </si>
  <si>
    <t> 16.07.2007 23:52 </t>
  </si>
  <si>
    <t>11405</t>
  </si>
  <si>
    <t> -0.2516 </t>
  </si>
  <si>
    <t>2455690.4869 </t>
  </si>
  <si>
    <t> 08.05.2011 23:41 </t>
  </si>
  <si>
    <t>12087</t>
  </si>
  <si>
    <t> -0.2692 </t>
  </si>
  <si>
    <t>BAVM 220 </t>
  </si>
  <si>
    <t>2456135.4481 </t>
  </si>
  <si>
    <t> 26.07.2012 22:45 </t>
  </si>
  <si>
    <t>12305</t>
  </si>
  <si>
    <t> -0.2613 </t>
  </si>
  <si>
    <t>o</t>
  </si>
  <si>
    <t> U.Schmidt </t>
  </si>
  <si>
    <t>BAVM 228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</si>
</sst>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V0743 Cyg - O-C Diagr.</a:t>
            </a:r>
          </a:p>
        </c:rich>
      </c:tx>
      <c:layout>
        <c:manualLayout>
          <c:xMode val="edge"/>
          <c:yMode val="edge"/>
          <c:x val="0.376942355889724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-3.2999999999447027E-2</c:v>
                </c:pt>
                <c:pt idx="1">
                  <c:v>0</c:v>
                </c:pt>
                <c:pt idx="2">
                  <c:v>1.4999999984866008E-3</c:v>
                </c:pt>
                <c:pt idx="3">
                  <c:v>-3.4400000000459841E-2</c:v>
                </c:pt>
                <c:pt idx="4">
                  <c:v>-7.4800000002142042E-3</c:v>
                </c:pt>
                <c:pt idx="5">
                  <c:v>-0.25197999999363674</c:v>
                </c:pt>
                <c:pt idx="6">
                  <c:v>-0.25164999999833526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10-4C08-92C7-3431910821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10-4C08-92C7-3431910821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10-4C08-92C7-3431910821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-0.26918999999179505</c:v>
                </c:pt>
                <c:pt idx="8">
                  <c:v>-0.26125000000320142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10-4C08-92C7-3431910821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10-4C08-92C7-3431910821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10-4C08-92C7-3431910821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1.06E-2</c:v>
                  </c:pt>
                  <c:pt idx="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10-4C08-92C7-3431910821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320</c:v>
                </c:pt>
                <c:pt idx="4">
                  <c:v>364</c:v>
                </c:pt>
                <c:pt idx="5">
                  <c:v>11404</c:v>
                </c:pt>
                <c:pt idx="6">
                  <c:v>11405</c:v>
                </c:pt>
                <c:pt idx="7">
                  <c:v>12087</c:v>
                </c:pt>
                <c:pt idx="8">
                  <c:v>12305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-5.646559257717565E-3</c:v>
                </c:pt>
                <c:pt idx="1">
                  <c:v>-5.646559257717565E-3</c:v>
                </c:pt>
                <c:pt idx="2">
                  <c:v>-8.8607078762064223E-3</c:v>
                </c:pt>
                <c:pt idx="3">
                  <c:v>-1.2503409643827131E-2</c:v>
                </c:pt>
                <c:pt idx="4">
                  <c:v>-1.3446226571917195E-2</c:v>
                </c:pt>
                <c:pt idx="5">
                  <c:v>-0.25000756489269715</c:v>
                </c:pt>
                <c:pt idx="6">
                  <c:v>-0.25002899255015376</c:v>
                </c:pt>
                <c:pt idx="7">
                  <c:v>-0.26464265493554978</c:v>
                </c:pt>
                <c:pt idx="8">
                  <c:v>-0.26931388426108693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10-4C08-92C7-343191082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681512"/>
        <c:axId val="1"/>
      </c:scatterChart>
      <c:valAx>
        <c:axId val="697681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681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17C501-7AE8-A72F-7722-D0785AA0C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bav-astro.de/sfs/BAVM_link.php?BAVMnr=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28" t="s">
        <v>39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31020.343000000001</v>
      </c>
      <c r="D4" s="9">
        <v>2.0410699999999999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31020.343000000001</v>
      </c>
    </row>
    <row r="8" spans="1:6" x14ac:dyDescent="0.2">
      <c r="A8" t="s">
        <v>3</v>
      </c>
      <c r="C8">
        <f>+D4</f>
        <v>2.0410699999999999</v>
      </c>
    </row>
    <row r="9" spans="1:6" x14ac:dyDescent="0.2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-5.646559257717565E-3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-2.1427657456592389E-5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56135.440036115746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2.0410485723425436</v>
      </c>
      <c r="E16" s="16" t="s">
        <v>31</v>
      </c>
      <c r="F16" s="17">
        <f ca="1">NOW()+15018.5+$C$5/24</f>
        <v>60340.750900694446</v>
      </c>
    </row>
    <row r="17" spans="1:17" ht="13.5" thickBot="1" x14ac:dyDescent="0.25">
      <c r="A17" s="16" t="s">
        <v>28</v>
      </c>
      <c r="B17" s="12"/>
      <c r="C17" s="12">
        <f>COUNT(C21:C2191)</f>
        <v>9</v>
      </c>
      <c r="E17" s="16" t="s">
        <v>35</v>
      </c>
      <c r="F17" s="17">
        <f ca="1">ROUND(2*(F16-$C$7)/$C$8,0)/2+F15</f>
        <v>14366</v>
      </c>
    </row>
    <row r="18" spans="1:17" ht="14.25" thickTop="1" thickBot="1" x14ac:dyDescent="0.25">
      <c r="A18" s="18" t="s">
        <v>5</v>
      </c>
      <c r="B18" s="12"/>
      <c r="C18" s="21">
        <f ca="1">+C15</f>
        <v>56135.440036115746</v>
      </c>
      <c r="D18" s="22">
        <f ca="1">+C16</f>
        <v>2.0410485723425436</v>
      </c>
      <c r="E18" s="16" t="s">
        <v>36</v>
      </c>
      <c r="F18" s="25">
        <f ca="1">ROUND(2*(F16-$C$15)/$C$16,0)/2+F15</f>
        <v>2061.5</v>
      </c>
    </row>
    <row r="19" spans="1:17" ht="13.5" thickTop="1" x14ac:dyDescent="0.2">
      <c r="E19" s="16" t="s">
        <v>32</v>
      </c>
      <c r="F19" s="20">
        <f ca="1">+$C$15+$C$16*F18-15018.5-$C$5/24</f>
        <v>45324.957501333236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47" t="s">
        <v>58</v>
      </c>
      <c r="B21" s="49" t="s">
        <v>38</v>
      </c>
      <c r="C21" s="48">
        <v>31020.31</v>
      </c>
      <c r="D21" s="48" t="s">
        <v>52</v>
      </c>
      <c r="E21">
        <f t="shared" ref="E21:E29" si="0">+(C21-C$7)/C$8</f>
        <v>-1.6167990318532451E-2</v>
      </c>
      <c r="F21">
        <f t="shared" ref="F21:F29" si="1">ROUND(2*E21,0)/2</f>
        <v>0</v>
      </c>
      <c r="G21">
        <f t="shared" ref="G21:G29" si="2">+C21-(C$7+F21*C$8)</f>
        <v>-3.2999999999447027E-2</v>
      </c>
      <c r="H21">
        <f>+G21</f>
        <v>-3.2999999999447027E-2</v>
      </c>
      <c r="O21">
        <f t="shared" ref="O21:O29" ca="1" si="3">+C$11+C$12*$F21</f>
        <v>-5.646559257717565E-3</v>
      </c>
      <c r="Q21" s="2">
        <f t="shared" ref="Q21:Q29" si="4">+C21-15018.5</f>
        <v>16001.810000000001</v>
      </c>
    </row>
    <row r="22" spans="1:17" x14ac:dyDescent="0.2">
      <c r="A22" t="s">
        <v>12</v>
      </c>
      <c r="C22" s="10">
        <v>31020.343000000001</v>
      </c>
      <c r="D22" s="10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-5.646559257717565E-3</v>
      </c>
      <c r="Q22" s="2">
        <f t="shared" si="4"/>
        <v>16001.843000000001</v>
      </c>
    </row>
    <row r="23" spans="1:17" x14ac:dyDescent="0.2">
      <c r="A23" s="47" t="s">
        <v>58</v>
      </c>
      <c r="B23" s="49" t="s">
        <v>38</v>
      </c>
      <c r="C23" s="48">
        <v>31326.505000000001</v>
      </c>
      <c r="D23" s="48" t="s">
        <v>52</v>
      </c>
      <c r="E23">
        <f t="shared" si="0"/>
        <v>150.000734908651</v>
      </c>
      <c r="F23">
        <f t="shared" si="1"/>
        <v>150</v>
      </c>
      <c r="G23">
        <f t="shared" si="2"/>
        <v>1.4999999984866008E-3</v>
      </c>
      <c r="H23">
        <f>+G23</f>
        <v>1.4999999984866008E-3</v>
      </c>
      <c r="O23">
        <f t="shared" ca="1" si="3"/>
        <v>-8.8607078762064223E-3</v>
      </c>
      <c r="Q23" s="2">
        <f t="shared" si="4"/>
        <v>16308.005000000001</v>
      </c>
    </row>
    <row r="24" spans="1:17" x14ac:dyDescent="0.2">
      <c r="A24" s="47" t="s">
        <v>58</v>
      </c>
      <c r="B24" s="49" t="s">
        <v>38</v>
      </c>
      <c r="C24" s="48">
        <v>31673.451000000001</v>
      </c>
      <c r="D24" s="48" t="s">
        <v>52</v>
      </c>
      <c r="E24">
        <f t="shared" si="0"/>
        <v>319.98314609494048</v>
      </c>
      <c r="F24">
        <f t="shared" si="1"/>
        <v>320</v>
      </c>
      <c r="G24">
        <f t="shared" si="2"/>
        <v>-3.4400000000459841E-2</v>
      </c>
      <c r="H24">
        <f>+G24</f>
        <v>-3.4400000000459841E-2</v>
      </c>
      <c r="O24">
        <f t="shared" ca="1" si="3"/>
        <v>-1.2503409643827131E-2</v>
      </c>
      <c r="Q24" s="2">
        <f t="shared" si="4"/>
        <v>16654.951000000001</v>
      </c>
    </row>
    <row r="25" spans="1:17" x14ac:dyDescent="0.2">
      <c r="A25" s="47" t="s">
        <v>58</v>
      </c>
      <c r="B25" s="49" t="s">
        <v>38</v>
      </c>
      <c r="C25" s="48">
        <v>31763.285</v>
      </c>
      <c r="D25" s="48" t="s">
        <v>52</v>
      </c>
      <c r="E25">
        <f t="shared" si="0"/>
        <v>363.9963352555273</v>
      </c>
      <c r="F25">
        <f t="shared" si="1"/>
        <v>364</v>
      </c>
      <c r="G25">
        <f t="shared" si="2"/>
        <v>-7.4800000002142042E-3</v>
      </c>
      <c r="H25">
        <f>+G25</f>
        <v>-7.4800000002142042E-3</v>
      </c>
      <c r="O25">
        <f t="shared" ca="1" si="3"/>
        <v>-1.3446226571917195E-2</v>
      </c>
      <c r="Q25" s="2">
        <f t="shared" si="4"/>
        <v>16744.785</v>
      </c>
    </row>
    <row r="26" spans="1:17" x14ac:dyDescent="0.2">
      <c r="A26" s="47" t="s">
        <v>74</v>
      </c>
      <c r="B26" s="49" t="s">
        <v>38</v>
      </c>
      <c r="C26" s="48">
        <v>54296.453300000001</v>
      </c>
      <c r="D26" s="48" t="s">
        <v>52</v>
      </c>
      <c r="E26">
        <f t="shared" si="0"/>
        <v>11403.876545145438</v>
      </c>
      <c r="F26">
        <f t="shared" si="1"/>
        <v>11404</v>
      </c>
      <c r="G26">
        <f t="shared" si="2"/>
        <v>-0.25197999999363674</v>
      </c>
      <c r="H26">
        <f>+G26</f>
        <v>-0.25197999999363674</v>
      </c>
      <c r="O26">
        <f t="shared" ca="1" si="3"/>
        <v>-0.25000756489269715</v>
      </c>
      <c r="Q26" s="2">
        <f t="shared" si="4"/>
        <v>39277.953300000001</v>
      </c>
    </row>
    <row r="27" spans="1:17" x14ac:dyDescent="0.2">
      <c r="A27" s="47" t="s">
        <v>74</v>
      </c>
      <c r="B27" s="49" t="s">
        <v>38</v>
      </c>
      <c r="C27" s="48">
        <v>54298.494700000003</v>
      </c>
      <c r="D27" s="48" t="s">
        <v>52</v>
      </c>
      <c r="E27">
        <f t="shared" si="0"/>
        <v>11404.876706825344</v>
      </c>
      <c r="F27">
        <f t="shared" si="1"/>
        <v>11405</v>
      </c>
      <c r="G27">
        <f t="shared" si="2"/>
        <v>-0.25164999999833526</v>
      </c>
      <c r="H27">
        <f>+G27</f>
        <v>-0.25164999999833526</v>
      </c>
      <c r="O27">
        <f t="shared" ca="1" si="3"/>
        <v>-0.25002899255015376</v>
      </c>
      <c r="Q27" s="2">
        <f t="shared" si="4"/>
        <v>39279.994700000003</v>
      </c>
    </row>
    <row r="28" spans="1:17" x14ac:dyDescent="0.2">
      <c r="A28" s="29" t="s">
        <v>37</v>
      </c>
      <c r="B28" s="30" t="s">
        <v>38</v>
      </c>
      <c r="C28" s="29">
        <v>55690.486900000004</v>
      </c>
      <c r="D28" s="29">
        <v>1.06E-2</v>
      </c>
      <c r="E28">
        <f t="shared" si="0"/>
        <v>12086.86811329352</v>
      </c>
      <c r="F28">
        <f t="shared" si="1"/>
        <v>12087</v>
      </c>
      <c r="G28">
        <f t="shared" si="2"/>
        <v>-0.26918999999179505</v>
      </c>
      <c r="K28">
        <f>+G28</f>
        <v>-0.26918999999179505</v>
      </c>
      <c r="O28">
        <f t="shared" ca="1" si="3"/>
        <v>-0.26464265493554978</v>
      </c>
      <c r="Q28" s="2">
        <f t="shared" si="4"/>
        <v>40671.986900000004</v>
      </c>
    </row>
    <row r="29" spans="1:17" x14ac:dyDescent="0.2">
      <c r="A29" s="31" t="s">
        <v>41</v>
      </c>
      <c r="B29" s="32" t="s">
        <v>38</v>
      </c>
      <c r="C29" s="33">
        <v>56135.448100000001</v>
      </c>
      <c r="D29" s="33">
        <v>2.3E-3</v>
      </c>
      <c r="E29">
        <f t="shared" si="0"/>
        <v>12304.872003409977</v>
      </c>
      <c r="F29">
        <f t="shared" si="1"/>
        <v>12305</v>
      </c>
      <c r="G29">
        <f t="shared" si="2"/>
        <v>-0.26125000000320142</v>
      </c>
      <c r="K29">
        <f>+G29</f>
        <v>-0.26125000000320142</v>
      </c>
      <c r="O29">
        <f t="shared" ca="1" si="3"/>
        <v>-0.26931388426108693</v>
      </c>
      <c r="Q29" s="2">
        <f t="shared" si="4"/>
        <v>41116.948100000001</v>
      </c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4"/>
  <sheetViews>
    <sheetView workbookViewId="0">
      <selection activeCell="A13" sqref="A13:D1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42</v>
      </c>
      <c r="I1" s="35" t="s">
        <v>43</v>
      </c>
      <c r="J1" s="36" t="s">
        <v>44</v>
      </c>
    </row>
    <row r="2" spans="1:16" x14ac:dyDescent="0.2">
      <c r="I2" s="37" t="s">
        <v>45</v>
      </c>
      <c r="J2" s="38" t="s">
        <v>46</v>
      </c>
    </row>
    <row r="3" spans="1:16" x14ac:dyDescent="0.2">
      <c r="A3" s="39" t="s">
        <v>47</v>
      </c>
      <c r="I3" s="37" t="s">
        <v>48</v>
      </c>
      <c r="J3" s="38" t="s">
        <v>49</v>
      </c>
    </row>
    <row r="4" spans="1:16" x14ac:dyDescent="0.2">
      <c r="I4" s="37" t="s">
        <v>50</v>
      </c>
      <c r="J4" s="38" t="s">
        <v>49</v>
      </c>
    </row>
    <row r="5" spans="1:16" ht="13.5" thickBot="1" x14ac:dyDescent="0.25">
      <c r="I5" s="40" t="s">
        <v>51</v>
      </c>
      <c r="J5" s="41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18" si="0">P11</f>
        <v>BAVM 220 </v>
      </c>
      <c r="B11" s="3" t="str">
        <f t="shared" ref="B11:B18" si="1">IF(H11=INT(H11),"I","II")</f>
        <v>I</v>
      </c>
      <c r="C11" s="10">
        <f t="shared" ref="C11:C18" si="2">1*G11</f>
        <v>55690.486900000004</v>
      </c>
      <c r="D11" s="12" t="str">
        <f t="shared" ref="D11:D18" si="3">VLOOKUP(F11,I$1:J$5,2,FALSE)</f>
        <v>vis</v>
      </c>
      <c r="E11" s="42">
        <f>VLOOKUP(C11,Active!C$21:E$973,3,FALSE)</f>
        <v>12086.86811329352</v>
      </c>
      <c r="F11" s="3" t="s">
        <v>51</v>
      </c>
      <c r="G11" s="12" t="str">
        <f t="shared" ref="G11:G18" si="4">MID(I11,3,LEN(I11)-3)</f>
        <v>55690.4869</v>
      </c>
      <c r="H11" s="10">
        <f t="shared" ref="H11:H18" si="5">1*K11</f>
        <v>12087</v>
      </c>
      <c r="I11" s="43" t="s">
        <v>79</v>
      </c>
      <c r="J11" s="44" t="s">
        <v>80</v>
      </c>
      <c r="K11" s="43" t="s">
        <v>81</v>
      </c>
      <c r="L11" s="43" t="s">
        <v>82</v>
      </c>
      <c r="M11" s="44" t="s">
        <v>71</v>
      </c>
      <c r="N11" s="44" t="s">
        <v>72</v>
      </c>
      <c r="O11" s="45" t="s">
        <v>73</v>
      </c>
      <c r="P11" s="46" t="s">
        <v>83</v>
      </c>
    </row>
    <row r="12" spans="1:16" ht="12.75" customHeight="1" thickBot="1" x14ac:dyDescent="0.25">
      <c r="A12" s="10" t="str">
        <f t="shared" si="0"/>
        <v>BAVM 228 </v>
      </c>
      <c r="B12" s="3" t="str">
        <f t="shared" si="1"/>
        <v>I</v>
      </c>
      <c r="C12" s="10">
        <f t="shared" si="2"/>
        <v>56135.448100000001</v>
      </c>
      <c r="D12" s="12" t="str">
        <f t="shared" si="3"/>
        <v>vis</v>
      </c>
      <c r="E12" s="42">
        <f>VLOOKUP(C12,Active!C$21:E$973,3,FALSE)</f>
        <v>12304.872003409977</v>
      </c>
      <c r="F12" s="3" t="s">
        <v>51</v>
      </c>
      <c r="G12" s="12" t="str">
        <f t="shared" si="4"/>
        <v>56135.4481</v>
      </c>
      <c r="H12" s="10">
        <f t="shared" si="5"/>
        <v>12305</v>
      </c>
      <c r="I12" s="43" t="s">
        <v>84</v>
      </c>
      <c r="J12" s="44" t="s">
        <v>85</v>
      </c>
      <c r="K12" s="43" t="s">
        <v>86</v>
      </c>
      <c r="L12" s="43" t="s">
        <v>87</v>
      </c>
      <c r="M12" s="44" t="s">
        <v>71</v>
      </c>
      <c r="N12" s="44" t="s">
        <v>88</v>
      </c>
      <c r="O12" s="45" t="s">
        <v>89</v>
      </c>
      <c r="P12" s="46" t="s">
        <v>90</v>
      </c>
    </row>
    <row r="13" spans="1:16" ht="12.75" customHeight="1" thickBot="1" x14ac:dyDescent="0.25">
      <c r="A13" s="10" t="str">
        <f t="shared" si="0"/>
        <v> VSS 2.141 </v>
      </c>
      <c r="B13" s="3" t="str">
        <f t="shared" si="1"/>
        <v>I</v>
      </c>
      <c r="C13" s="10">
        <f t="shared" si="2"/>
        <v>31020.31</v>
      </c>
      <c r="D13" s="12" t="str">
        <f t="shared" si="3"/>
        <v>vis</v>
      </c>
      <c r="E13" s="42">
        <f>VLOOKUP(C13,Active!C$21:E$973,3,FALSE)</f>
        <v>-1.6167990318532451E-2</v>
      </c>
      <c r="F13" s="3" t="s">
        <v>51</v>
      </c>
      <c r="G13" s="12" t="str">
        <f t="shared" si="4"/>
        <v>31020.310</v>
      </c>
      <c r="H13" s="10">
        <f t="shared" si="5"/>
        <v>0</v>
      </c>
      <c r="I13" s="43" t="s">
        <v>53</v>
      </c>
      <c r="J13" s="44" t="s">
        <v>54</v>
      </c>
      <c r="K13" s="43">
        <v>0</v>
      </c>
      <c r="L13" s="43" t="s">
        <v>55</v>
      </c>
      <c r="M13" s="44" t="s">
        <v>56</v>
      </c>
      <c r="N13" s="44"/>
      <c r="O13" s="45" t="s">
        <v>57</v>
      </c>
      <c r="P13" s="45" t="s">
        <v>58</v>
      </c>
    </row>
    <row r="14" spans="1:16" ht="12.75" customHeight="1" thickBot="1" x14ac:dyDescent="0.25">
      <c r="A14" s="10" t="str">
        <f t="shared" si="0"/>
        <v> VSS 2.141 </v>
      </c>
      <c r="B14" s="3" t="str">
        <f t="shared" si="1"/>
        <v>I</v>
      </c>
      <c r="C14" s="10">
        <f t="shared" si="2"/>
        <v>31326.505000000001</v>
      </c>
      <c r="D14" s="12" t="str">
        <f t="shared" si="3"/>
        <v>vis</v>
      </c>
      <c r="E14" s="42">
        <f>VLOOKUP(C14,Active!C$21:E$973,3,FALSE)</f>
        <v>150.000734908651</v>
      </c>
      <c r="F14" s="3" t="s">
        <v>51</v>
      </c>
      <c r="G14" s="12" t="str">
        <f t="shared" si="4"/>
        <v>31326.505</v>
      </c>
      <c r="H14" s="10">
        <f t="shared" si="5"/>
        <v>150</v>
      </c>
      <c r="I14" s="43" t="s">
        <v>59</v>
      </c>
      <c r="J14" s="44" t="s">
        <v>60</v>
      </c>
      <c r="K14" s="43">
        <v>150</v>
      </c>
      <c r="L14" s="43" t="s">
        <v>61</v>
      </c>
      <c r="M14" s="44" t="s">
        <v>56</v>
      </c>
      <c r="N14" s="44"/>
      <c r="O14" s="45" t="s">
        <v>57</v>
      </c>
      <c r="P14" s="45" t="s">
        <v>58</v>
      </c>
    </row>
    <row r="15" spans="1:16" ht="12.75" customHeight="1" thickBot="1" x14ac:dyDescent="0.25">
      <c r="A15" s="10" t="str">
        <f t="shared" si="0"/>
        <v> VSS 2.141 </v>
      </c>
      <c r="B15" s="3" t="str">
        <f t="shared" si="1"/>
        <v>I</v>
      </c>
      <c r="C15" s="10">
        <f t="shared" si="2"/>
        <v>31673.451000000001</v>
      </c>
      <c r="D15" s="12" t="str">
        <f t="shared" si="3"/>
        <v>vis</v>
      </c>
      <c r="E15" s="42">
        <f>VLOOKUP(C15,Active!C$21:E$973,3,FALSE)</f>
        <v>319.98314609494048</v>
      </c>
      <c r="F15" s="3" t="s">
        <v>51</v>
      </c>
      <c r="G15" s="12" t="str">
        <f t="shared" si="4"/>
        <v>31673.451</v>
      </c>
      <c r="H15" s="10">
        <f t="shared" si="5"/>
        <v>320</v>
      </c>
      <c r="I15" s="43" t="s">
        <v>62</v>
      </c>
      <c r="J15" s="44" t="s">
        <v>63</v>
      </c>
      <c r="K15" s="43">
        <v>320</v>
      </c>
      <c r="L15" s="43" t="s">
        <v>64</v>
      </c>
      <c r="M15" s="44" t="s">
        <v>56</v>
      </c>
      <c r="N15" s="44"/>
      <c r="O15" s="45" t="s">
        <v>57</v>
      </c>
      <c r="P15" s="45" t="s">
        <v>58</v>
      </c>
    </row>
    <row r="16" spans="1:16" ht="12.75" customHeight="1" thickBot="1" x14ac:dyDescent="0.25">
      <c r="A16" s="10" t="str">
        <f t="shared" si="0"/>
        <v> VSS 2.141 </v>
      </c>
      <c r="B16" s="3" t="str">
        <f t="shared" si="1"/>
        <v>I</v>
      </c>
      <c r="C16" s="10">
        <f t="shared" si="2"/>
        <v>31763.285</v>
      </c>
      <c r="D16" s="12" t="str">
        <f t="shared" si="3"/>
        <v>vis</v>
      </c>
      <c r="E16" s="42">
        <f>VLOOKUP(C16,Active!C$21:E$973,3,FALSE)</f>
        <v>363.9963352555273</v>
      </c>
      <c r="F16" s="3" t="s">
        <v>51</v>
      </c>
      <c r="G16" s="12" t="str">
        <f t="shared" si="4"/>
        <v>31763.285</v>
      </c>
      <c r="H16" s="10">
        <f t="shared" si="5"/>
        <v>364</v>
      </c>
      <c r="I16" s="43" t="s">
        <v>65</v>
      </c>
      <c r="J16" s="44" t="s">
        <v>66</v>
      </c>
      <c r="K16" s="43">
        <v>364</v>
      </c>
      <c r="L16" s="43" t="s">
        <v>67</v>
      </c>
      <c r="M16" s="44" t="s">
        <v>56</v>
      </c>
      <c r="N16" s="44"/>
      <c r="O16" s="45" t="s">
        <v>57</v>
      </c>
      <c r="P16" s="45" t="s">
        <v>58</v>
      </c>
    </row>
    <row r="17" spans="1:16" ht="12.75" customHeight="1" thickBot="1" x14ac:dyDescent="0.25">
      <c r="A17" s="10" t="str">
        <f t="shared" si="0"/>
        <v>BAVM 193 </v>
      </c>
      <c r="B17" s="3" t="str">
        <f t="shared" si="1"/>
        <v>I</v>
      </c>
      <c r="C17" s="10">
        <f t="shared" si="2"/>
        <v>54296.453300000001</v>
      </c>
      <c r="D17" s="12" t="str">
        <f t="shared" si="3"/>
        <v>vis</v>
      </c>
      <c r="E17" s="42">
        <f>VLOOKUP(C17,Active!C$21:E$973,3,FALSE)</f>
        <v>11403.876545145438</v>
      </c>
      <c r="F17" s="3" t="s">
        <v>51</v>
      </c>
      <c r="G17" s="12" t="str">
        <f t="shared" si="4"/>
        <v>54296.4533</v>
      </c>
      <c r="H17" s="10">
        <f t="shared" si="5"/>
        <v>11404</v>
      </c>
      <c r="I17" s="43" t="s">
        <v>68</v>
      </c>
      <c r="J17" s="44" t="s">
        <v>69</v>
      </c>
      <c r="K17" s="43">
        <v>11404</v>
      </c>
      <c r="L17" s="43" t="s">
        <v>70</v>
      </c>
      <c r="M17" s="44" t="s">
        <v>71</v>
      </c>
      <c r="N17" s="44" t="s">
        <v>72</v>
      </c>
      <c r="O17" s="45" t="s">
        <v>73</v>
      </c>
      <c r="P17" s="46" t="s">
        <v>74</v>
      </c>
    </row>
    <row r="18" spans="1:16" ht="12.75" customHeight="1" thickBot="1" x14ac:dyDescent="0.25">
      <c r="A18" s="10" t="str">
        <f t="shared" si="0"/>
        <v>BAVM 193 </v>
      </c>
      <c r="B18" s="3" t="str">
        <f t="shared" si="1"/>
        <v>I</v>
      </c>
      <c r="C18" s="10">
        <f t="shared" si="2"/>
        <v>54298.494700000003</v>
      </c>
      <c r="D18" s="12" t="str">
        <f t="shared" si="3"/>
        <v>vis</v>
      </c>
      <c r="E18" s="42">
        <f>VLOOKUP(C18,Active!C$21:E$973,3,FALSE)</f>
        <v>11404.876706825344</v>
      </c>
      <c r="F18" s="3" t="s">
        <v>51</v>
      </c>
      <c r="G18" s="12" t="str">
        <f t="shared" si="4"/>
        <v>54298.4947</v>
      </c>
      <c r="H18" s="10">
        <f t="shared" si="5"/>
        <v>11405</v>
      </c>
      <c r="I18" s="43" t="s">
        <v>75</v>
      </c>
      <c r="J18" s="44" t="s">
        <v>76</v>
      </c>
      <c r="K18" s="43" t="s">
        <v>77</v>
      </c>
      <c r="L18" s="43" t="s">
        <v>78</v>
      </c>
      <c r="M18" s="44" t="s">
        <v>71</v>
      </c>
      <c r="N18" s="44" t="s">
        <v>72</v>
      </c>
      <c r="O18" s="45" t="s">
        <v>73</v>
      </c>
      <c r="P18" s="46" t="s">
        <v>74</v>
      </c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</sheetData>
  <phoneticPr fontId="7" type="noConversion"/>
  <hyperlinks>
    <hyperlink ref="P17" r:id="rId1" display="http://www.bav-astro.de/sfs/BAVM_link.php?BAVMnr=193"/>
    <hyperlink ref="P18" r:id="rId2" display="http://www.bav-astro.de/sfs/BAVM_link.php?BAVMnr=193"/>
    <hyperlink ref="P11" r:id="rId3" display="http://www.bav-astro.de/sfs/BAVM_link.php?BAVMnr=220"/>
    <hyperlink ref="P12" r:id="rId4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2024-01-31T05:01:17Z</dcterms:modified>
</cp:coreProperties>
</file>