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36D67CC-9857-4746-8C0F-2827B4EAA0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84" i="1" l="1"/>
  <c r="Q83" i="1"/>
  <c r="Q75" i="1"/>
  <c r="D9" i="1"/>
  <c r="C9" i="1"/>
  <c r="Q73" i="1"/>
  <c r="Q72" i="1"/>
  <c r="Q70" i="1"/>
  <c r="Q69" i="1"/>
  <c r="Q66" i="1"/>
  <c r="Q65" i="1"/>
  <c r="Q61" i="1"/>
  <c r="Q59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71" i="2"/>
  <c r="C71" i="2"/>
  <c r="G19" i="2"/>
  <c r="C19" i="2"/>
  <c r="G70" i="2"/>
  <c r="C70" i="2"/>
  <c r="G69" i="2"/>
  <c r="C69" i="2"/>
  <c r="G18" i="2"/>
  <c r="C18" i="2"/>
  <c r="G68" i="2"/>
  <c r="C68" i="2"/>
  <c r="G67" i="2"/>
  <c r="C67" i="2"/>
  <c r="G17" i="2"/>
  <c r="C17" i="2"/>
  <c r="G16" i="2"/>
  <c r="C16" i="2"/>
  <c r="G66" i="2"/>
  <c r="C66" i="2"/>
  <c r="G65" i="2"/>
  <c r="C65" i="2"/>
  <c r="G15" i="2"/>
  <c r="C15" i="2"/>
  <c r="G14" i="2"/>
  <c r="C14" i="2"/>
  <c r="G13" i="2"/>
  <c r="C13" i="2"/>
  <c r="G64" i="2"/>
  <c r="C64" i="2"/>
  <c r="G12" i="2"/>
  <c r="C12" i="2"/>
  <c r="G63" i="2"/>
  <c r="C63" i="2"/>
  <c r="G11" i="2"/>
  <c r="C11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71" i="2"/>
  <c r="B71" i="2"/>
  <c r="D71" i="2"/>
  <c r="A71" i="2"/>
  <c r="H19" i="2"/>
  <c r="B19" i="2"/>
  <c r="D19" i="2"/>
  <c r="A19" i="2"/>
  <c r="H70" i="2"/>
  <c r="B70" i="2"/>
  <c r="D70" i="2"/>
  <c r="A70" i="2"/>
  <c r="H69" i="2"/>
  <c r="B69" i="2"/>
  <c r="D69" i="2"/>
  <c r="A69" i="2"/>
  <c r="H18" i="2"/>
  <c r="B18" i="2"/>
  <c r="D18" i="2"/>
  <c r="A18" i="2"/>
  <c r="H68" i="2"/>
  <c r="B68" i="2"/>
  <c r="D68" i="2"/>
  <c r="A68" i="2"/>
  <c r="H67" i="2"/>
  <c r="B67" i="2"/>
  <c r="D67" i="2"/>
  <c r="A67" i="2"/>
  <c r="H17" i="2"/>
  <c r="B17" i="2"/>
  <c r="D17" i="2"/>
  <c r="A17" i="2"/>
  <c r="H16" i="2"/>
  <c r="B16" i="2"/>
  <c r="D16" i="2"/>
  <c r="A16" i="2"/>
  <c r="H66" i="2"/>
  <c r="B66" i="2"/>
  <c r="D66" i="2"/>
  <c r="A66" i="2"/>
  <c r="H65" i="2"/>
  <c r="B65" i="2"/>
  <c r="D65" i="2"/>
  <c r="A65" i="2"/>
  <c r="H15" i="2"/>
  <c r="B15" i="2"/>
  <c r="D15" i="2"/>
  <c r="A15" i="2"/>
  <c r="H14" i="2"/>
  <c r="B14" i="2"/>
  <c r="D14" i="2"/>
  <c r="A14" i="2"/>
  <c r="H13" i="2"/>
  <c r="B13" i="2"/>
  <c r="D13" i="2"/>
  <c r="A13" i="2"/>
  <c r="H64" i="2"/>
  <c r="B64" i="2"/>
  <c r="D64" i="2"/>
  <c r="A64" i="2"/>
  <c r="H12" i="2"/>
  <c r="B12" i="2"/>
  <c r="D12" i="2"/>
  <c r="A12" i="2"/>
  <c r="H63" i="2"/>
  <c r="B63" i="2"/>
  <c r="D63" i="2"/>
  <c r="A63" i="2"/>
  <c r="H11" i="2"/>
  <c r="B11" i="2"/>
  <c r="D11" i="2"/>
  <c r="A11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Q81" i="1"/>
  <c r="Q82" i="1"/>
  <c r="Q76" i="1"/>
  <c r="Q78" i="1"/>
  <c r="F16" i="1"/>
  <c r="F17" i="1" s="1"/>
  <c r="C17" i="1"/>
  <c r="Q77" i="1"/>
  <c r="Q80" i="1"/>
  <c r="Q79" i="1"/>
  <c r="Q74" i="1"/>
  <c r="Q71" i="1"/>
  <c r="Q58" i="1"/>
  <c r="Q60" i="1"/>
  <c r="Q62" i="1"/>
  <c r="Q63" i="1"/>
  <c r="Q64" i="1"/>
  <c r="Q67" i="1"/>
  <c r="Q68" i="1"/>
  <c r="C7" i="1"/>
  <c r="C8" i="1"/>
  <c r="Q27" i="1"/>
  <c r="E33" i="2"/>
  <c r="E21" i="1"/>
  <c r="F21" i="1"/>
  <c r="G21" i="1"/>
  <c r="I21" i="1"/>
  <c r="E30" i="1"/>
  <c r="F30" i="1"/>
  <c r="E38" i="1"/>
  <c r="F38" i="1"/>
  <c r="G40" i="1"/>
  <c r="I40" i="1"/>
  <c r="E46" i="1"/>
  <c r="F46" i="1"/>
  <c r="E54" i="1"/>
  <c r="F54" i="1"/>
  <c r="G54" i="1"/>
  <c r="I54" i="1"/>
  <c r="E69" i="1"/>
  <c r="F69" i="1"/>
  <c r="E63" i="1"/>
  <c r="F63" i="1"/>
  <c r="G63" i="1"/>
  <c r="I63" i="1"/>
  <c r="E74" i="1"/>
  <c r="F74" i="1"/>
  <c r="G74" i="1"/>
  <c r="J74" i="1"/>
  <c r="E81" i="1"/>
  <c r="F81" i="1"/>
  <c r="G81" i="1"/>
  <c r="J81" i="1"/>
  <c r="E27" i="1"/>
  <c r="F27" i="1"/>
  <c r="E24" i="1"/>
  <c r="F24" i="1"/>
  <c r="E33" i="1"/>
  <c r="F33" i="1"/>
  <c r="G33" i="1"/>
  <c r="I33" i="1"/>
  <c r="E41" i="1"/>
  <c r="F41" i="1"/>
  <c r="E49" i="1"/>
  <c r="F49" i="1"/>
  <c r="E57" i="1"/>
  <c r="F57" i="1"/>
  <c r="G61" i="1"/>
  <c r="I61" i="1"/>
  <c r="E73" i="1"/>
  <c r="F73" i="1"/>
  <c r="G73" i="1"/>
  <c r="I73" i="1"/>
  <c r="E68" i="1"/>
  <c r="F68" i="1"/>
  <c r="E83" i="1"/>
  <c r="F83" i="1"/>
  <c r="E28" i="1"/>
  <c r="F28" i="1"/>
  <c r="G30" i="1"/>
  <c r="I30" i="1"/>
  <c r="E36" i="1"/>
  <c r="F36" i="1"/>
  <c r="G38" i="1"/>
  <c r="I38" i="1"/>
  <c r="E44" i="1"/>
  <c r="F44" i="1"/>
  <c r="G46" i="1"/>
  <c r="I46" i="1"/>
  <c r="E52" i="1"/>
  <c r="F52" i="1"/>
  <c r="E65" i="1"/>
  <c r="F65" i="1"/>
  <c r="G69" i="1"/>
  <c r="I69" i="1"/>
  <c r="E62" i="1"/>
  <c r="F62" i="1"/>
  <c r="E77" i="1"/>
  <c r="F77" i="1"/>
  <c r="G77" i="1"/>
  <c r="J77" i="1"/>
  <c r="E82" i="1"/>
  <c r="F82" i="1"/>
  <c r="G82" i="1"/>
  <c r="J82" i="1"/>
  <c r="E22" i="1"/>
  <c r="G24" i="1"/>
  <c r="I24" i="1"/>
  <c r="E31" i="1"/>
  <c r="F31" i="1"/>
  <c r="G31" i="1"/>
  <c r="I31" i="1"/>
  <c r="E39" i="1"/>
  <c r="F39" i="1"/>
  <c r="G41" i="1"/>
  <c r="I41" i="1"/>
  <c r="E47" i="1"/>
  <c r="F47" i="1"/>
  <c r="G49" i="1"/>
  <c r="I49" i="1"/>
  <c r="E55" i="1"/>
  <c r="F55" i="1"/>
  <c r="G57" i="1"/>
  <c r="I57" i="1"/>
  <c r="E70" i="1"/>
  <c r="F70" i="1"/>
  <c r="G70" i="1"/>
  <c r="I70" i="1"/>
  <c r="E64" i="1"/>
  <c r="F64" i="1"/>
  <c r="G68" i="1"/>
  <c r="J68" i="1"/>
  <c r="G83" i="1"/>
  <c r="K83" i="1"/>
  <c r="E25" i="1"/>
  <c r="F25" i="1"/>
  <c r="G28" i="1"/>
  <c r="I28" i="1"/>
  <c r="E34" i="1"/>
  <c r="F34" i="1"/>
  <c r="G36" i="1"/>
  <c r="I36" i="1"/>
  <c r="E42" i="1"/>
  <c r="F42" i="1"/>
  <c r="G44" i="1"/>
  <c r="I44" i="1"/>
  <c r="E50" i="1"/>
  <c r="F50" i="1"/>
  <c r="G52" i="1"/>
  <c r="I52" i="1"/>
  <c r="E59" i="1"/>
  <c r="G65" i="1"/>
  <c r="I65" i="1"/>
  <c r="E75" i="1"/>
  <c r="E58" i="1"/>
  <c r="F58" i="1"/>
  <c r="G62" i="1"/>
  <c r="I62" i="1"/>
  <c r="E80" i="1"/>
  <c r="F80" i="1"/>
  <c r="G80" i="1"/>
  <c r="J80" i="1"/>
  <c r="E76" i="1"/>
  <c r="F76" i="1"/>
  <c r="G76" i="1"/>
  <c r="I76" i="1"/>
  <c r="E84" i="1"/>
  <c r="F84" i="1"/>
  <c r="E29" i="1"/>
  <c r="F29" i="1"/>
  <c r="G29" i="1"/>
  <c r="I29" i="1"/>
  <c r="E37" i="1"/>
  <c r="F37" i="1"/>
  <c r="G37" i="1"/>
  <c r="I37" i="1"/>
  <c r="G39" i="1"/>
  <c r="I39" i="1"/>
  <c r="E45" i="1"/>
  <c r="F45" i="1"/>
  <c r="G47" i="1"/>
  <c r="I47" i="1"/>
  <c r="E53" i="1"/>
  <c r="F53" i="1"/>
  <c r="G55" i="1"/>
  <c r="I55" i="1"/>
  <c r="E66" i="1"/>
  <c r="F66" i="1"/>
  <c r="G66" i="1"/>
  <c r="I66" i="1"/>
  <c r="G64" i="1"/>
  <c r="I64" i="1"/>
  <c r="E71" i="1"/>
  <c r="F71" i="1"/>
  <c r="G71" i="1"/>
  <c r="K71" i="1"/>
  <c r="E23" i="1"/>
  <c r="F23" i="1"/>
  <c r="G23" i="1"/>
  <c r="I23" i="1"/>
  <c r="G25" i="1"/>
  <c r="I25" i="1"/>
  <c r="E32" i="1"/>
  <c r="F32" i="1"/>
  <c r="G32" i="1"/>
  <c r="I32" i="1"/>
  <c r="G34" i="1"/>
  <c r="I34" i="1"/>
  <c r="E40" i="1"/>
  <c r="F40" i="1"/>
  <c r="G42" i="1"/>
  <c r="I42" i="1"/>
  <c r="E48" i="1"/>
  <c r="F48" i="1"/>
  <c r="G48" i="1"/>
  <c r="I48" i="1"/>
  <c r="G50" i="1"/>
  <c r="I50" i="1"/>
  <c r="E56" i="1"/>
  <c r="F56" i="1"/>
  <c r="G56" i="1"/>
  <c r="I56" i="1"/>
  <c r="E72" i="1"/>
  <c r="F72" i="1"/>
  <c r="G72" i="1"/>
  <c r="I72" i="1"/>
  <c r="E67" i="1"/>
  <c r="G58" i="1"/>
  <c r="E79" i="1"/>
  <c r="F79" i="1"/>
  <c r="G79" i="1"/>
  <c r="J79" i="1"/>
  <c r="E78" i="1"/>
  <c r="F78" i="1"/>
  <c r="G78" i="1"/>
  <c r="I78" i="1"/>
  <c r="G84" i="1"/>
  <c r="K84" i="1"/>
  <c r="E26" i="1"/>
  <c r="E35" i="1"/>
  <c r="E43" i="1"/>
  <c r="G45" i="1"/>
  <c r="I45" i="1"/>
  <c r="E51" i="1"/>
  <c r="G53" i="1"/>
  <c r="I53" i="1"/>
  <c r="E61" i="1"/>
  <c r="F61" i="1"/>
  <c r="E60" i="1"/>
  <c r="F60" i="1"/>
  <c r="G60" i="1"/>
  <c r="I60" i="1"/>
  <c r="E29" i="2"/>
  <c r="E45" i="2"/>
  <c r="E61" i="2"/>
  <c r="E50" i="2"/>
  <c r="E64" i="2"/>
  <c r="E23" i="2"/>
  <c r="E30" i="2"/>
  <c r="E35" i="2"/>
  <c r="E51" i="2"/>
  <c r="E62" i="2"/>
  <c r="E13" i="2"/>
  <c r="E17" i="2"/>
  <c r="E19" i="2"/>
  <c r="E24" i="2"/>
  <c r="E31" i="2"/>
  <c r="E41" i="2"/>
  <c r="E47" i="2"/>
  <c r="E52" i="2"/>
  <c r="E57" i="2"/>
  <c r="E11" i="2"/>
  <c r="E14" i="2"/>
  <c r="E67" i="2"/>
  <c r="E25" i="2"/>
  <c r="E42" i="2"/>
  <c r="E58" i="2"/>
  <c r="E20" i="2"/>
  <c r="E26" i="2"/>
  <c r="E38" i="2"/>
  <c r="E43" i="2"/>
  <c r="E59" i="2"/>
  <c r="E65" i="2"/>
  <c r="F67" i="1"/>
  <c r="G67" i="1"/>
  <c r="J67" i="1"/>
  <c r="E16" i="2"/>
  <c r="E15" i="2"/>
  <c r="E34" i="2"/>
  <c r="F26" i="1"/>
  <c r="G26" i="1"/>
  <c r="I26" i="1"/>
  <c r="E32" i="2"/>
  <c r="F59" i="1"/>
  <c r="G59" i="1"/>
  <c r="E63" i="2"/>
  <c r="F22" i="1"/>
  <c r="G22" i="1"/>
  <c r="I22" i="1"/>
  <c r="E28" i="2"/>
  <c r="E12" i="2"/>
  <c r="F75" i="1"/>
  <c r="G75" i="1"/>
  <c r="I75" i="1"/>
  <c r="E71" i="2"/>
  <c r="E53" i="2"/>
  <c r="E36" i="2"/>
  <c r="E46" i="2"/>
  <c r="E22" i="2"/>
  <c r="E60" i="2"/>
  <c r="E18" i="2"/>
  <c r="E68" i="2"/>
  <c r="E37" i="2"/>
  <c r="F51" i="1"/>
  <c r="G51" i="1"/>
  <c r="I51" i="1"/>
  <c r="E56" i="2"/>
  <c r="E55" i="2"/>
  <c r="E49" i="2"/>
  <c r="E44" i="2"/>
  <c r="F43" i="1"/>
  <c r="G43" i="1"/>
  <c r="I43" i="1"/>
  <c r="E48" i="2"/>
  <c r="E54" i="2"/>
  <c r="E27" i="2"/>
  <c r="E70" i="2"/>
  <c r="I58" i="1"/>
  <c r="E21" i="2"/>
  <c r="E39" i="2"/>
  <c r="E69" i="2"/>
  <c r="F35" i="1"/>
  <c r="G35" i="1"/>
  <c r="I35" i="1"/>
  <c r="E40" i="2"/>
  <c r="E66" i="2"/>
  <c r="I59" i="1"/>
  <c r="C11" i="1"/>
  <c r="C12" i="1"/>
  <c r="C16" i="1" l="1"/>
  <c r="D18" i="1" s="1"/>
  <c r="O53" i="1"/>
  <c r="O42" i="1"/>
  <c r="O22" i="1"/>
  <c r="O57" i="1"/>
  <c r="O46" i="1"/>
  <c r="O26" i="1"/>
  <c r="O27" i="1"/>
  <c r="O62" i="1"/>
  <c r="O33" i="1"/>
  <c r="O55" i="1"/>
  <c r="O63" i="1"/>
  <c r="O35" i="1"/>
  <c r="O72" i="1"/>
  <c r="O45" i="1"/>
  <c r="O34" i="1"/>
  <c r="O65" i="1"/>
  <c r="O49" i="1"/>
  <c r="O38" i="1"/>
  <c r="O79" i="1"/>
  <c r="O82" i="1"/>
  <c r="C15" i="1"/>
  <c r="O48" i="1"/>
  <c r="O44" i="1"/>
  <c r="O58" i="1"/>
  <c r="O84" i="1"/>
  <c r="O24" i="1"/>
  <c r="O80" i="1"/>
  <c r="O54" i="1"/>
  <c r="O56" i="1"/>
  <c r="O37" i="1"/>
  <c r="O25" i="1"/>
  <c r="O52" i="1"/>
  <c r="O41" i="1"/>
  <c r="O30" i="1"/>
  <c r="O81" i="1"/>
  <c r="O60" i="1"/>
  <c r="O29" i="1"/>
  <c r="O70" i="1"/>
  <c r="O21" i="1"/>
  <c r="O40" i="1"/>
  <c r="O36" i="1"/>
  <c r="O61" i="1"/>
  <c r="O77" i="1"/>
  <c r="O67" i="1"/>
  <c r="O32" i="1"/>
  <c r="O75" i="1"/>
  <c r="O47" i="1"/>
  <c r="O28" i="1"/>
  <c r="O78" i="1"/>
  <c r="O51" i="1"/>
  <c r="O74" i="1"/>
  <c r="O64" i="1"/>
  <c r="O66" i="1"/>
  <c r="O50" i="1"/>
  <c r="O31" i="1"/>
  <c r="O73" i="1"/>
  <c r="O71" i="1"/>
  <c r="O23" i="1"/>
  <c r="O59" i="1"/>
  <c r="O39" i="1"/>
  <c r="O83" i="1"/>
  <c r="O69" i="1"/>
  <c r="O43" i="1"/>
  <c r="O68" i="1"/>
  <c r="O76" i="1"/>
  <c r="C18" i="1" l="1"/>
  <c r="F18" i="1"/>
  <c r="F19" i="1" s="1"/>
</calcChain>
</file>

<file path=xl/sharedStrings.xml><?xml version="1.0" encoding="utf-8"?>
<sst xmlns="http://schemas.openxmlformats.org/spreadsheetml/2006/main" count="673" uniqueCount="293">
  <si>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</si>
  <si>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</si>
  <si>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</si>
  <si>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</si>
  <si>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</si>
  <si>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</si>
  <si>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</si>
  <si>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</si>
  <si>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</si>
  <si>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</si>
  <si>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</si>
  <si>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</si>
  <si>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</si>
  <si>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</si>
  <si>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</si>
  <si>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</si>
  <si>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</si>
  <si>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</si>
  <si>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</si>
  <si>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</si>
  <si>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</si>
  <si>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</si>
  <si>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</si>
  <si>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</si>
  <si>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</si>
  <si>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</si>
  <si>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</si>
  <si>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</si>
  <si>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</si>
  <si>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</si>
  <si>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Bull.94</t>
  </si>
  <si>
    <t>B</t>
  </si>
  <si>
    <t>BBSAG Bull.96</t>
  </si>
  <si>
    <t>BBSAG Bull.99</t>
  </si>
  <si>
    <t>BBSAG Bull.100</t>
  </si>
  <si>
    <t>BBSAG Bull.101</t>
  </si>
  <si>
    <t>BBSAG Bull.107</t>
  </si>
  <si>
    <t>BBSAG Bull.114</t>
  </si>
  <si>
    <t>IBVS 5583</t>
  </si>
  <si>
    <t>I</t>
  </si>
  <si>
    <t>IBVS 5643</t>
  </si>
  <si>
    <t># of data points:</t>
  </si>
  <si>
    <t>EA/SD</t>
  </si>
  <si>
    <t>IBVS 5731</t>
  </si>
  <si>
    <t>IBVS 5713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</si>
  <si>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</si>
  <si>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</si>
  <si>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</si>
  <si>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</si>
  <si>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</si>
  <si>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</si>
  <si>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</si>
  <si>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</si>
  <si>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6010</t>
  </si>
  <si>
    <t>OEJV 0003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</si>
  <si>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</si>
  <si>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</si>
  <si>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</si>
  <si>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</si>
  <si>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</si>
  <si>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</si>
  <si>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</si>
  <si>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</si>
  <si>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</si>
  <si>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</si>
  <si>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</si>
  <si>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</si>
  <si>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</si>
  <si>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2419618.680 </t>
  </si>
  <si>
    <t> 04.08.1912 04:19 </t>
  </si>
  <si>
    <t> -0.009 </t>
  </si>
  <si>
    <t>P </t>
  </si>
  <si>
    <t> Miller &amp; Wachmann </t>
  </si>
  <si>
    <t> RIA 6.210 </t>
  </si>
  <si>
    <t>2425479.633 </t>
  </si>
  <si>
    <t> 21.08.1928 03:11 </t>
  </si>
  <si>
    <t> 0.021 </t>
  </si>
  <si>
    <t>2427543.565 </t>
  </si>
  <si>
    <t> 16.04.1934 01:33 </t>
  </si>
  <si>
    <t> 0.016 </t>
  </si>
  <si>
    <t> O.Morgenroth </t>
  </si>
  <si>
    <t> AN 256.284 </t>
  </si>
  <si>
    <t>2427628.501 </t>
  </si>
  <si>
    <t> 10.07.1934 00:01 </t>
  </si>
  <si>
    <t> 0.011 </t>
  </si>
  <si>
    <t>2429142.220 </t>
  </si>
  <si>
    <t> 31.08.1938 17:16 </t>
  </si>
  <si>
    <t> 0.007 </t>
  </si>
  <si>
    <t>2431326.554 </t>
  </si>
  <si>
    <t> 24.08.1944 01:17 </t>
  </si>
  <si>
    <t> -0.034 </t>
  </si>
  <si>
    <t>2432628.588 </t>
  </si>
  <si>
    <t> 18.03.1948 02:06 </t>
  </si>
  <si>
    <t> -0.005 </t>
  </si>
  <si>
    <t>2432746.496 </t>
  </si>
  <si>
    <t> 13.07.1948 23:54 </t>
  </si>
  <si>
    <t> -0.000 </t>
  </si>
  <si>
    <t>2432836.511 </t>
  </si>
  <si>
    <t> 12.10.1948 00:15 </t>
  </si>
  <si>
    <t> 0.003 </t>
  </si>
  <si>
    <t>2432950.612 </t>
  </si>
  <si>
    <t> 03.02.1949 02:41 </t>
  </si>
  <si>
    <t> 0.004 </t>
  </si>
  <si>
    <t>2433129.367 </t>
  </si>
  <si>
    <t> 31.07.1949 20:48 </t>
  </si>
  <si>
    <t>2433280.224 </t>
  </si>
  <si>
    <t> 29.12.1949 17:22 </t>
  </si>
  <si>
    <t>2433419.692 </t>
  </si>
  <si>
    <t> 18.05.1950 04:36 </t>
  </si>
  <si>
    <t> 0.008 </t>
  </si>
  <si>
    <t>2433541.394 </t>
  </si>
  <si>
    <t> 16.09.1950 21:27 </t>
  </si>
  <si>
    <t>2433797.481 </t>
  </si>
  <si>
    <t> 30.05.1951 23:32 </t>
  </si>
  <si>
    <t>2434068.786 </t>
  </si>
  <si>
    <t> 26.02.1952 06:51 </t>
  </si>
  <si>
    <t> 0.001 </t>
  </si>
  <si>
    <t>2434237.403 </t>
  </si>
  <si>
    <t> 12.08.1952 21:40 </t>
  </si>
  <si>
    <t>2434564.487 </t>
  </si>
  <si>
    <t> 05.07.1953 23:41 </t>
  </si>
  <si>
    <t> 0.002 </t>
  </si>
  <si>
    <t>2434681.122 </t>
  </si>
  <si>
    <t> 30.10.1953 14:55 </t>
  </si>
  <si>
    <t>2434923.268 </t>
  </si>
  <si>
    <t> 29.06.1954 18:25 </t>
  </si>
  <si>
    <t>2435032.298 </t>
  </si>
  <si>
    <t> 16.10.1954 19:09 </t>
  </si>
  <si>
    <t>2435742.238 </t>
  </si>
  <si>
    <t> 25.09.1956 17:42 </t>
  </si>
  <si>
    <t> -0.010 </t>
  </si>
  <si>
    <t>2435989.462 </t>
  </si>
  <si>
    <t> 30.05.1957 23:05 </t>
  </si>
  <si>
    <t> -0.002 </t>
  </si>
  <si>
    <t>2444847.409 </t>
  </si>
  <si>
    <t> 30.08.1981 21:48 </t>
  </si>
  <si>
    <t> H.Busch </t>
  </si>
  <si>
    <t> MVS 12.51 </t>
  </si>
  <si>
    <t>2445562.431 </t>
  </si>
  <si>
    <t> 15.08.1983 22:20 </t>
  </si>
  <si>
    <t>2445903.465 </t>
  </si>
  <si>
    <t> 21.07.1984 23:09 </t>
  </si>
  <si>
    <t>2446717.328 </t>
  </si>
  <si>
    <t> 13.10.1986 19:52 </t>
  </si>
  <si>
    <t> -0.045 </t>
  </si>
  <si>
    <t>V </t>
  </si>
  <si>
    <t> J.Borovicka </t>
  </si>
  <si>
    <t> BRNO 28 </t>
  </si>
  <si>
    <t> V.Wagner </t>
  </si>
  <si>
    <t>2446997.472 </t>
  </si>
  <si>
    <t> 20.07.1987 23:19 </t>
  </si>
  <si>
    <t> -0.079 </t>
  </si>
  <si>
    <t> A.Slatinsky </t>
  </si>
  <si>
    <t> BRNO 30 </t>
  </si>
  <si>
    <t>2446997.482 </t>
  </si>
  <si>
    <t> 20.07.1987 23:34 </t>
  </si>
  <si>
    <t> -0.069 </t>
  </si>
  <si>
    <t>2446997.483 </t>
  </si>
  <si>
    <t> 20.07.1987 23:35 </t>
  </si>
  <si>
    <t> -0.068 </t>
  </si>
  <si>
    <t>2447030.447 </t>
  </si>
  <si>
    <t> 22.08.1987 22:43 </t>
  </si>
  <si>
    <t> -0.066 </t>
  </si>
  <si>
    <t> M.Zejda </t>
  </si>
  <si>
    <t>2447030.452 </t>
  </si>
  <si>
    <t> 22.08.1987 22:50 </t>
  </si>
  <si>
    <t> -0.061 </t>
  </si>
  <si>
    <t>2447030.457 </t>
  </si>
  <si>
    <t> 22.08.1987 22:58 </t>
  </si>
  <si>
    <t> -0.056 </t>
  </si>
  <si>
    <t>2447030.459 </t>
  </si>
  <si>
    <t> 22.08.1987 23:00 </t>
  </si>
  <si>
    <t> -0.054 </t>
  </si>
  <si>
    <t> J.Vavrincova </t>
  </si>
  <si>
    <t>2447669.414 </t>
  </si>
  <si>
    <t> 22.05.1989 21:56 </t>
  </si>
  <si>
    <t> -0.058 </t>
  </si>
  <si>
    <t> Moschner&amp;Kleikamp </t>
  </si>
  <si>
    <t>BAVM 56 </t>
  </si>
  <si>
    <t>2447954.654 </t>
  </si>
  <si>
    <t> 04.03.1990 03:41 </t>
  </si>
  <si>
    <t> -0.067 </t>
  </si>
  <si>
    <t> K.Locher </t>
  </si>
  <si>
    <t> BBS 94 </t>
  </si>
  <si>
    <t>2448119.469 </t>
  </si>
  <si>
    <t> 15.08.1990 23:15 </t>
  </si>
  <si>
    <t> -0.063 </t>
  </si>
  <si>
    <t> A.Dedoch </t>
  </si>
  <si>
    <t> BRNO 31 </t>
  </si>
  <si>
    <t>2448147.357 </t>
  </si>
  <si>
    <t> 12.09.1990 20:34 </t>
  </si>
  <si>
    <t> BBS 96 </t>
  </si>
  <si>
    <t>2448498.528 </t>
  </si>
  <si>
    <t> 30.08.1991 00:40 </t>
  </si>
  <si>
    <t>BAVM 79 </t>
  </si>
  <si>
    <t>2448587.268 </t>
  </si>
  <si>
    <t> 26.11.1991 18:25 </t>
  </si>
  <si>
    <t> -0.072 </t>
  </si>
  <si>
    <t> BBS 99 </t>
  </si>
  <si>
    <t>2448683.615 </t>
  </si>
  <si>
    <t> 02.03.1992 02:45 </t>
  </si>
  <si>
    <t> -0.076 </t>
  </si>
  <si>
    <t> BBS 100 </t>
  </si>
  <si>
    <t>2448801.510 </t>
  </si>
  <si>
    <t> 28.06.1992 00:14 </t>
  </si>
  <si>
    <t> -0.084 </t>
  </si>
  <si>
    <t> BBS 101 </t>
  </si>
  <si>
    <t>2449118.4549 </t>
  </si>
  <si>
    <t> 10.05.1993 22:55 </t>
  </si>
  <si>
    <t> -0.0831 </t>
  </si>
  <si>
    <t>E </t>
  </si>
  <si>
    <t>o</t>
  </si>
  <si>
    <t> W.Moschner </t>
  </si>
  <si>
    <t>BAVM 68 </t>
  </si>
  <si>
    <t>2449321.29 </t>
  </si>
  <si>
    <t> 29.11.1993 18:57 </t>
  </si>
  <si>
    <t> -0.09 </t>
  </si>
  <si>
    <t>2449511.461 </t>
  </si>
  <si>
    <t> 07.06.1994 23:03 </t>
  </si>
  <si>
    <t> -0.087 </t>
  </si>
  <si>
    <t> BBS 107 </t>
  </si>
  <si>
    <t>2450539.618 </t>
  </si>
  <si>
    <t> 01.04.1997 02:49 </t>
  </si>
  <si>
    <t> -0.095 </t>
  </si>
  <si>
    <t> BBS 114 </t>
  </si>
  <si>
    <t>2450671.4741 </t>
  </si>
  <si>
    <t> 10.08.1997 23:22 </t>
  </si>
  <si>
    <t> -0.0879 </t>
  </si>
  <si>
    <t> J.Cechal </t>
  </si>
  <si>
    <t> BRNO 32 </t>
  </si>
  <si>
    <t>2451012.4960 </t>
  </si>
  <si>
    <t> 17.07.1998 23:54 </t>
  </si>
  <si>
    <t> -0.0974 </t>
  </si>
  <si>
    <t> M.Netolicky </t>
  </si>
  <si>
    <t>2452437.4431 </t>
  </si>
  <si>
    <t> 11.06.2002 22:38 </t>
  </si>
  <si>
    <t> -0.1290 </t>
  </si>
  <si>
    <t>?</t>
  </si>
  <si>
    <t>IBVS 5583 </t>
  </si>
  <si>
    <t>2452613.6636 </t>
  </si>
  <si>
    <t> 05.12.2002 03:55 </t>
  </si>
  <si>
    <t> -0.1292 </t>
  </si>
  <si>
    <t>C </t>
  </si>
  <si>
    <t> P.Sobotka (ESA INTEGRAL) </t>
  </si>
  <si>
    <t>IBVS 5809 </t>
  </si>
  <si>
    <t>2452616.1908 </t>
  </si>
  <si>
    <t> 07.12.2002 16:34 </t>
  </si>
  <si>
    <t> -0.1375 </t>
  </si>
  <si>
    <t>2452816.5049 </t>
  </si>
  <si>
    <t> 26.06.2003 00:07 </t>
  </si>
  <si>
    <t> -0.1318 </t>
  </si>
  <si>
    <t> Moschner&amp;Frank </t>
  </si>
  <si>
    <t>BAVM 172 </t>
  </si>
  <si>
    <t>2453256.4180 </t>
  </si>
  <si>
    <t> 07.09.2004 22:01 </t>
  </si>
  <si>
    <t> -0.1365 </t>
  </si>
  <si>
    <t> M.Zejda et al. </t>
  </si>
  <si>
    <t>IBVS 5741 </t>
  </si>
  <si>
    <t>2453284.336 </t>
  </si>
  <si>
    <t> 05.10.2004 20:03 </t>
  </si>
  <si>
    <t> -0.110 </t>
  </si>
  <si>
    <t>OEJV 0003 </t>
  </si>
  <si>
    <t>2453592.3737 </t>
  </si>
  <si>
    <t> 09.08.2005 20:58 </t>
  </si>
  <si>
    <t> -0.1411 </t>
  </si>
  <si>
    <t> R.Diethelm </t>
  </si>
  <si>
    <t>IBVS 5713 </t>
  </si>
  <si>
    <t>2453592.379 </t>
  </si>
  <si>
    <t> 09.08.2005 21:05 </t>
  </si>
  <si>
    <t> -0.136 </t>
  </si>
  <si>
    <t>2453658.2974 </t>
  </si>
  <si>
    <t> 14.10.2005 19:08 </t>
  </si>
  <si>
    <t> -0.1417 </t>
  </si>
  <si>
    <t>-I</t>
  </si>
  <si>
    <t> F.Agerer </t>
  </si>
  <si>
    <t>BAVM 178 </t>
  </si>
  <si>
    <t>2453900.4405 </t>
  </si>
  <si>
    <t> 13.06.2006 22:34 </t>
  </si>
  <si>
    <t>16857</t>
  </si>
  <si>
    <t> -0.1435 </t>
  </si>
  <si>
    <t>2455387.5346 </t>
  </si>
  <si>
    <t> 10.07.2010 00:49 </t>
  </si>
  <si>
    <t>18030</t>
  </si>
  <si>
    <t> -0.1491 </t>
  </si>
  <si>
    <t>BAVM 215 </t>
  </si>
  <si>
    <t>2455643.6227 </t>
  </si>
  <si>
    <t> 23.03.2011 02:56 </t>
  </si>
  <si>
    <t>18232</t>
  </si>
  <si>
    <t> -0.1515 </t>
  </si>
  <si>
    <t> W.Moschner &amp; P.Frank </t>
  </si>
  <si>
    <t>BAVM 220 </t>
  </si>
  <si>
    <t>IBVS 5741</t>
  </si>
  <si>
    <t>V0822 Cyg / gsc 2681-3036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</si>
</sst>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4" fillId="24" borderId="16" xfId="0" applyFont="1" applyFill="1" applyBorder="1" applyAlignment="1">
      <alignment horizontal="left" vertical="top" wrapText="1" indent="1"/>
    </xf>
    <xf numFmtId="0" fontId="4" fillId="24" borderId="16" xfId="0" applyFont="1" applyFill="1" applyBorder="1" applyAlignment="1">
      <alignment horizontal="center" vertical="top" wrapText="1"/>
    </xf>
    <xf numFmtId="0" fontId="4" fillId="24" borderId="16" xfId="0" applyFont="1" applyFill="1" applyBorder="1" applyAlignment="1">
      <alignment horizontal="right" vertical="top" wrapText="1"/>
    </xf>
    <xf numFmtId="0" fontId="18" fillId="24" borderId="16" xfId="38" applyFill="1" applyBorder="1" applyAlignment="1" applyProtection="1">
      <alignment horizontal="right" vertical="top" wrapText="1"/>
    </xf>
    <xf numFmtId="0" fontId="0" fillId="0" borderId="1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17" xfId="0" applyBorder="1" applyAlignment="1">
      <alignment horizontal="left" vertical="top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6" fillId="0" borderId="0" xfId="0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V0822 Cyg - O-C Diagr.</a:t>
            </a:r>
          </a:p>
        </c:rich>
      </c:tx>
      <c:layout>
        <c:manualLayout>
          <c:xMode val="edge"/>
          <c:yMode val="edge"/>
          <c:x val="0.342007825230024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4387328999303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9-4ECD-9410-FC89DC0AF2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-9.4625600031577051E-3</c:v>
                </c:pt>
                <c:pt idx="1">
                  <c:v>2.1284260001266375E-2</c:v>
                </c:pt>
                <c:pt idx="2">
                  <c:v>1.613777999591548E-2</c:v>
                </c:pt>
                <c:pt idx="3">
                  <c:v>1.1235559999477118E-2</c:v>
                </c:pt>
                <c:pt idx="4">
                  <c:v>7.2915199998533353E-3</c:v>
                </c:pt>
                <c:pt idx="5">
                  <c:v>-3.444766000029631E-2</c:v>
                </c:pt>
                <c:pt idx="7">
                  <c:v>-5.0234800000907853E-3</c:v>
                </c:pt>
                <c:pt idx="8">
                  <c:v>-6.6860000515589491E-5</c:v>
                </c:pt>
                <c:pt idx="9">
                  <c:v>2.9322799964575097E-3</c:v>
                </c:pt>
                <c:pt idx="10">
                  <c:v>4.2128799977945164E-3</c:v>
                </c:pt>
                <c:pt idx="11">
                  <c:v>2.9858199995942414E-3</c:v>
                </c:pt>
                <c:pt idx="12">
                  <c:v>-5.1987199985887855E-3</c:v>
                </c:pt>
                <c:pt idx="13">
                  <c:v>7.5886800041189417E-3</c:v>
                </c:pt>
                <c:pt idx="14">
                  <c:v>3.2213199956458993E-3</c:v>
                </c:pt>
                <c:pt idx="15">
                  <c:v>-2.6000000070780516E-4</c:v>
                </c:pt>
                <c:pt idx="16">
                  <c:v>9.6276000112993643E-4</c:v>
                </c:pt>
                <c:pt idx="17">
                  <c:v>3.9329799983534031E-3</c:v>
                </c:pt>
                <c:pt idx="18">
                  <c:v>2.0707000003312714E-3</c:v>
                </c:pt>
                <c:pt idx="19">
                  <c:v>1.8019800045294687E-3</c:v>
                </c:pt>
                <c:pt idx="20">
                  <c:v>2.8419199952622876E-3</c:v>
                </c:pt>
                <c:pt idx="21">
                  <c:v>4.2211600011796691E-3</c:v>
                </c:pt>
                <c:pt idx="22">
                  <c:v>-9.5884400070644915E-3</c:v>
                </c:pt>
                <c:pt idx="23">
                  <c:v>-1.6471400012960657E-3</c:v>
                </c:pt>
                <c:pt idx="24">
                  <c:v>3.8034399985917844E-3</c:v>
                </c:pt>
                <c:pt idx="25">
                  <c:v>8.9519999164622277E-4</c:v>
                </c:pt>
                <c:pt idx="26">
                  <c:v>3.5116599974571727E-3</c:v>
                </c:pt>
                <c:pt idx="27">
                  <c:v>-4.4820060000347439E-2</c:v>
                </c:pt>
                <c:pt idx="28">
                  <c:v>-4.4820060000347439E-2</c:v>
                </c:pt>
                <c:pt idx="29">
                  <c:v>-7.9019919998245314E-2</c:v>
                </c:pt>
                <c:pt idx="30">
                  <c:v>-6.9019919996208046E-2</c:v>
                </c:pt>
                <c:pt idx="31">
                  <c:v>-6.8019919999642298E-2</c:v>
                </c:pt>
                <c:pt idx="32">
                  <c:v>-6.6161080001620576E-2</c:v>
                </c:pt>
                <c:pt idx="33">
                  <c:v>-6.1161080004239921E-2</c:v>
                </c:pt>
                <c:pt idx="34">
                  <c:v>-5.6161079999583308E-2</c:v>
                </c:pt>
                <c:pt idx="35">
                  <c:v>-5.4161079999175854E-2</c:v>
                </c:pt>
                <c:pt idx="36">
                  <c:v>-5.7589720003306866E-2</c:v>
                </c:pt>
                <c:pt idx="37">
                  <c:v>-6.6888219997053966E-2</c:v>
                </c:pt>
                <c:pt idx="38">
                  <c:v>-6.2594020004326012E-2</c:v>
                </c:pt>
                <c:pt idx="39">
                  <c:v>-6.5636539999104571E-2</c:v>
                </c:pt>
                <c:pt idx="40">
                  <c:v>-6.8217359999835026E-2</c:v>
                </c:pt>
                <c:pt idx="41">
                  <c:v>-7.2443560005922336E-2</c:v>
                </c:pt>
                <c:pt idx="42">
                  <c:v>-7.631772000604542E-2</c:v>
                </c:pt>
                <c:pt idx="43">
                  <c:v>-8.4361099994566757E-2</c:v>
                </c:pt>
                <c:pt idx="44">
                  <c:v>-8.312609999848064E-2</c:v>
                </c:pt>
                <c:pt idx="45">
                  <c:v>-9.197169999970356E-2</c:v>
                </c:pt>
                <c:pt idx="48">
                  <c:v>-8.7884600005054381E-2</c:v>
                </c:pt>
                <c:pt idx="49">
                  <c:v>-9.7368140006437898E-2</c:v>
                </c:pt>
                <c:pt idx="51">
                  <c:v>-0.1291637200047262</c:v>
                </c:pt>
                <c:pt idx="52">
                  <c:v>-0.13751304000470554</c:v>
                </c:pt>
                <c:pt idx="54">
                  <c:v>-0.13651634000416379</c:v>
                </c:pt>
                <c:pt idx="55">
                  <c:v>-0.10955885999283055</c:v>
                </c:pt>
                <c:pt idx="57">
                  <c:v>-0.13580124000145588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9-4ECD-9410-FC89DC0AF2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6">
                  <c:v>-8.7170699996931944E-2</c:v>
                </c:pt>
                <c:pt idx="47">
                  <c:v>-9.5419959994615056E-2</c:v>
                </c:pt>
                <c:pt idx="53">
                  <c:v>-0.13180931999522727</c:v>
                </c:pt>
                <c:pt idx="56">
                  <c:v>-0.14110124000580981</c:v>
                </c:pt>
                <c:pt idx="58">
                  <c:v>-0.14168355999572668</c:v>
                </c:pt>
                <c:pt idx="59">
                  <c:v>-0.14354362000449328</c:v>
                </c:pt>
                <c:pt idx="60">
                  <c:v>-0.14911980000033509</c:v>
                </c:pt>
                <c:pt idx="61">
                  <c:v>-0.15150112000264926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49-4ECD-9410-FC89DC0AF2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0">
                  <c:v>-0.12898598000901984</c:v>
                </c:pt>
                <c:pt idx="62">
                  <c:v>-0.16340694000246003</c:v>
                </c:pt>
                <c:pt idx="63">
                  <c:v>-0.16320830000040587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49-4ECD-9410-FC89DC0AF2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49-4ECD-9410-FC89DC0AF2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49-4ECD-9410-FC89DC0AF2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49-4ECD-9410-FC89DC0AF2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0.24385037182452518</c:v>
                </c:pt>
                <c:pt idx="1">
                  <c:v>0.17906348649475681</c:v>
                </c:pt>
                <c:pt idx="2">
                  <c:v>0.15624863697780617</c:v>
                </c:pt>
                <c:pt idx="3">
                  <c:v>0.15530969661070806</c:v>
                </c:pt>
                <c:pt idx="4">
                  <c:v>0.13857693842690028</c:v>
                </c:pt>
                <c:pt idx="5">
                  <c:v>0.11443075555361649</c:v>
                </c:pt>
                <c:pt idx="6">
                  <c:v>0.10113143602561515</c:v>
                </c:pt>
                <c:pt idx="7">
                  <c:v>0.10003834126988902</c:v>
                </c:pt>
                <c:pt idx="8">
                  <c:v>9.8735035984215541E-2</c:v>
                </c:pt>
                <c:pt idx="9">
                  <c:v>9.7740039475798166E-2</c:v>
                </c:pt>
                <c:pt idx="10">
                  <c:v>9.6478776296114163E-2</c:v>
                </c:pt>
                <c:pt idx="11">
                  <c:v>9.4502797314609213E-2</c:v>
                </c:pt>
                <c:pt idx="12">
                  <c:v>9.2835127110360363E-2</c:v>
                </c:pt>
                <c:pt idx="13">
                  <c:v>9.1293583224079919E-2</c:v>
                </c:pt>
                <c:pt idx="14">
                  <c:v>8.9948235832416984E-2</c:v>
                </c:pt>
                <c:pt idx="15">
                  <c:v>8.7117400695792879E-2</c:v>
                </c:pt>
                <c:pt idx="16">
                  <c:v>8.4118397135210909E-2</c:v>
                </c:pt>
                <c:pt idx="17">
                  <c:v>8.225453043634455E-2</c:v>
                </c:pt>
                <c:pt idx="18">
                  <c:v>7.8638909321250408E-2</c:v>
                </c:pt>
                <c:pt idx="19">
                  <c:v>7.7349618070906762E-2</c:v>
                </c:pt>
                <c:pt idx="20">
                  <c:v>7.4672937322910693E-2</c:v>
                </c:pt>
                <c:pt idx="21">
                  <c:v>7.3467730284545979E-2</c:v>
                </c:pt>
                <c:pt idx="22">
                  <c:v>6.5619870499845509E-2</c:v>
                </c:pt>
                <c:pt idx="23">
                  <c:v>6.2887133610530166E-2</c:v>
                </c:pt>
                <c:pt idx="24">
                  <c:v>-3.5028931238938063E-2</c:v>
                </c:pt>
                <c:pt idx="25">
                  <c:v>-4.2932847164957835E-2</c:v>
                </c:pt>
                <c:pt idx="26">
                  <c:v>-4.6702622668680013E-2</c:v>
                </c:pt>
                <c:pt idx="27">
                  <c:v>-5.5699633350425923E-2</c:v>
                </c:pt>
                <c:pt idx="28">
                  <c:v>-5.5699633350425923E-2</c:v>
                </c:pt>
                <c:pt idx="29">
                  <c:v>-5.879673515831664E-2</c:v>
                </c:pt>
                <c:pt idx="30">
                  <c:v>-5.879673515831664E-2</c:v>
                </c:pt>
                <c:pt idx="31">
                  <c:v>-5.879673515831664E-2</c:v>
                </c:pt>
                <c:pt idx="32">
                  <c:v>-5.9161100076892029E-2</c:v>
                </c:pt>
                <c:pt idx="33">
                  <c:v>-5.9161100076892029E-2</c:v>
                </c:pt>
                <c:pt idx="34">
                  <c:v>-5.9161100076892029E-2</c:v>
                </c:pt>
                <c:pt idx="35">
                  <c:v>-5.9161100076892029E-2</c:v>
                </c:pt>
                <c:pt idx="36">
                  <c:v>-6.6224173883122447E-2</c:v>
                </c:pt>
                <c:pt idx="37">
                  <c:v>-6.9377331832332453E-2</c:v>
                </c:pt>
                <c:pt idx="38">
                  <c:v>-7.119915642520934E-2</c:v>
                </c:pt>
                <c:pt idx="39">
                  <c:v>-7.1507465202465439E-2</c:v>
                </c:pt>
                <c:pt idx="40">
                  <c:v>-7.5389352988826194E-2</c:v>
                </c:pt>
                <c:pt idx="41">
                  <c:v>-7.6370335461913755E-2</c:v>
                </c:pt>
                <c:pt idx="42">
                  <c:v>-7.7435402146980262E-2</c:v>
                </c:pt>
                <c:pt idx="43">
                  <c:v>-7.8738707432653723E-2</c:v>
                </c:pt>
                <c:pt idx="44">
                  <c:v>-8.2242216265109289E-2</c:v>
                </c:pt>
                <c:pt idx="45">
                  <c:v>-8.4484461917880851E-2</c:v>
                </c:pt>
                <c:pt idx="46">
                  <c:v>-8.6586567217354207E-2</c:v>
                </c:pt>
                <c:pt idx="47">
                  <c:v>-9.7951949869840058E-2</c:v>
                </c:pt>
                <c:pt idx="48">
                  <c:v>-9.9409409544141583E-2</c:v>
                </c:pt>
                <c:pt idx="49">
                  <c:v>-0.10317918504786379</c:v>
                </c:pt>
                <c:pt idx="50">
                  <c:v>-0.11893096075858402</c:v>
                </c:pt>
                <c:pt idx="51">
                  <c:v>-0.12087891166942931</c:v>
                </c:pt>
                <c:pt idx="52">
                  <c:v>-0.12090693974008897</c:v>
                </c:pt>
                <c:pt idx="53">
                  <c:v>-0.12312115732220087</c:v>
                </c:pt>
                <c:pt idx="54">
                  <c:v>-0.12798402758164923</c:v>
                </c:pt>
                <c:pt idx="55">
                  <c:v>-0.1282923363589053</c:v>
                </c:pt>
                <c:pt idx="56">
                  <c:v>-0.13169774694405212</c:v>
                </c:pt>
                <c:pt idx="57">
                  <c:v>-0.13169774694405212</c:v>
                </c:pt>
                <c:pt idx="58">
                  <c:v>-0.13242647678120284</c:v>
                </c:pt>
                <c:pt idx="59">
                  <c:v>-0.13510315752919894</c:v>
                </c:pt>
                <c:pt idx="60">
                  <c:v>-0.15154162097108048</c:v>
                </c:pt>
                <c:pt idx="61">
                  <c:v>-0.15437245610770456</c:v>
                </c:pt>
                <c:pt idx="62">
                  <c:v>-0.1757718880563432</c:v>
                </c:pt>
                <c:pt idx="63">
                  <c:v>-0.17571583191502388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49-4ECD-9410-FC89DC0AF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514208"/>
        <c:axId val="1"/>
      </c:scatterChart>
      <c:valAx>
        <c:axId val="9585142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514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6264867449189"/>
          <c:y val="0.92024539877300615"/>
          <c:w val="0.776952453434027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V0822 Cyg - O-C Diagr.</a:t>
            </a:r>
          </a:p>
        </c:rich>
      </c:tx>
      <c:layout>
        <c:manualLayout>
          <c:xMode val="edge"/>
          <c:yMode val="edge"/>
          <c:x val="0.34322820037105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678942920199375"/>
          <c:w val="0.7810760667903524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7-4BC1-9A33-1671BF02B2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-9.4625600031577051E-3</c:v>
                </c:pt>
                <c:pt idx="1">
                  <c:v>2.1284260001266375E-2</c:v>
                </c:pt>
                <c:pt idx="2">
                  <c:v>1.613777999591548E-2</c:v>
                </c:pt>
                <c:pt idx="3">
                  <c:v>1.1235559999477118E-2</c:v>
                </c:pt>
                <c:pt idx="4">
                  <c:v>7.2915199998533353E-3</c:v>
                </c:pt>
                <c:pt idx="5">
                  <c:v>-3.444766000029631E-2</c:v>
                </c:pt>
                <c:pt idx="7">
                  <c:v>-5.0234800000907853E-3</c:v>
                </c:pt>
                <c:pt idx="8">
                  <c:v>-6.6860000515589491E-5</c:v>
                </c:pt>
                <c:pt idx="9">
                  <c:v>2.9322799964575097E-3</c:v>
                </c:pt>
                <c:pt idx="10">
                  <c:v>4.2128799977945164E-3</c:v>
                </c:pt>
                <c:pt idx="11">
                  <c:v>2.9858199995942414E-3</c:v>
                </c:pt>
                <c:pt idx="12">
                  <c:v>-5.1987199985887855E-3</c:v>
                </c:pt>
                <c:pt idx="13">
                  <c:v>7.5886800041189417E-3</c:v>
                </c:pt>
                <c:pt idx="14">
                  <c:v>3.2213199956458993E-3</c:v>
                </c:pt>
                <c:pt idx="15">
                  <c:v>-2.6000000070780516E-4</c:v>
                </c:pt>
                <c:pt idx="16">
                  <c:v>9.6276000112993643E-4</c:v>
                </c:pt>
                <c:pt idx="17">
                  <c:v>3.9329799983534031E-3</c:v>
                </c:pt>
                <c:pt idx="18">
                  <c:v>2.0707000003312714E-3</c:v>
                </c:pt>
                <c:pt idx="19">
                  <c:v>1.8019800045294687E-3</c:v>
                </c:pt>
                <c:pt idx="20">
                  <c:v>2.8419199952622876E-3</c:v>
                </c:pt>
                <c:pt idx="21">
                  <c:v>4.2211600011796691E-3</c:v>
                </c:pt>
                <c:pt idx="22">
                  <c:v>-9.5884400070644915E-3</c:v>
                </c:pt>
                <c:pt idx="23">
                  <c:v>-1.6471400012960657E-3</c:v>
                </c:pt>
                <c:pt idx="24">
                  <c:v>3.8034399985917844E-3</c:v>
                </c:pt>
                <c:pt idx="25">
                  <c:v>8.9519999164622277E-4</c:v>
                </c:pt>
                <c:pt idx="26">
                  <c:v>3.5116599974571727E-3</c:v>
                </c:pt>
                <c:pt idx="27">
                  <c:v>-4.4820060000347439E-2</c:v>
                </c:pt>
                <c:pt idx="28">
                  <c:v>-4.4820060000347439E-2</c:v>
                </c:pt>
                <c:pt idx="29">
                  <c:v>-7.9019919998245314E-2</c:v>
                </c:pt>
                <c:pt idx="30">
                  <c:v>-6.9019919996208046E-2</c:v>
                </c:pt>
                <c:pt idx="31">
                  <c:v>-6.8019919999642298E-2</c:v>
                </c:pt>
                <c:pt idx="32">
                  <c:v>-6.6161080001620576E-2</c:v>
                </c:pt>
                <c:pt idx="33">
                  <c:v>-6.1161080004239921E-2</c:v>
                </c:pt>
                <c:pt idx="34">
                  <c:v>-5.6161079999583308E-2</c:v>
                </c:pt>
                <c:pt idx="35">
                  <c:v>-5.4161079999175854E-2</c:v>
                </c:pt>
                <c:pt idx="36">
                  <c:v>-5.7589720003306866E-2</c:v>
                </c:pt>
                <c:pt idx="37">
                  <c:v>-6.6888219997053966E-2</c:v>
                </c:pt>
                <c:pt idx="38">
                  <c:v>-6.2594020004326012E-2</c:v>
                </c:pt>
                <c:pt idx="39">
                  <c:v>-6.5636539999104571E-2</c:v>
                </c:pt>
                <c:pt idx="40">
                  <c:v>-6.8217359999835026E-2</c:v>
                </c:pt>
                <c:pt idx="41">
                  <c:v>-7.2443560005922336E-2</c:v>
                </c:pt>
                <c:pt idx="42">
                  <c:v>-7.631772000604542E-2</c:v>
                </c:pt>
                <c:pt idx="43">
                  <c:v>-8.4361099994566757E-2</c:v>
                </c:pt>
                <c:pt idx="44">
                  <c:v>-8.312609999848064E-2</c:v>
                </c:pt>
                <c:pt idx="45">
                  <c:v>-9.197169999970356E-2</c:v>
                </c:pt>
                <c:pt idx="48">
                  <c:v>-8.7884600005054381E-2</c:v>
                </c:pt>
                <c:pt idx="49">
                  <c:v>-9.7368140006437898E-2</c:v>
                </c:pt>
                <c:pt idx="51">
                  <c:v>-0.1291637200047262</c:v>
                </c:pt>
                <c:pt idx="52">
                  <c:v>-0.13751304000470554</c:v>
                </c:pt>
                <c:pt idx="54">
                  <c:v>-0.13651634000416379</c:v>
                </c:pt>
                <c:pt idx="55">
                  <c:v>-0.10955885999283055</c:v>
                </c:pt>
                <c:pt idx="57">
                  <c:v>-0.13580124000145588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B7-4BC1-9A33-1671BF02B2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46">
                  <c:v>-8.7170699996931944E-2</c:v>
                </c:pt>
                <c:pt idx="47">
                  <c:v>-9.5419959994615056E-2</c:v>
                </c:pt>
                <c:pt idx="53">
                  <c:v>-0.13180931999522727</c:v>
                </c:pt>
                <c:pt idx="56">
                  <c:v>-0.14110124000580981</c:v>
                </c:pt>
                <c:pt idx="58">
                  <c:v>-0.14168355999572668</c:v>
                </c:pt>
                <c:pt idx="59">
                  <c:v>-0.14354362000449328</c:v>
                </c:pt>
                <c:pt idx="60">
                  <c:v>-0.14911980000033509</c:v>
                </c:pt>
                <c:pt idx="61">
                  <c:v>-0.15150112000264926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7-4BC1-9A33-1671BF02B2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0">
                  <c:v>-0.12898598000901984</c:v>
                </c:pt>
                <c:pt idx="62">
                  <c:v>-0.16340694000246003</c:v>
                </c:pt>
                <c:pt idx="63">
                  <c:v>-0.16320830000040587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B7-4BC1-9A33-1671BF02B2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B7-4BC1-9A33-1671BF02B2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B7-4BC1-9A33-1671BF02B2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8">
                    <c:v>0</c:v>
                  </c:pt>
                  <c:pt idx="40">
                    <c:v>0</c:v>
                  </c:pt>
                  <c:pt idx="41">
                    <c:v>1.2E-2</c:v>
                  </c:pt>
                  <c:pt idx="42">
                    <c:v>1.2E-2</c:v>
                  </c:pt>
                  <c:pt idx="43">
                    <c:v>1.0999999999999999E-2</c:v>
                  </c:pt>
                  <c:pt idx="44">
                    <c:v>0</c:v>
                  </c:pt>
                  <c:pt idx="45">
                    <c:v>0</c:v>
                  </c:pt>
                  <c:pt idx="46">
                    <c:v>8.0000000000000002E-3</c:v>
                  </c:pt>
                  <c:pt idx="47">
                    <c:v>8.9999999999999993E-3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2E-3</c:v>
                  </c:pt>
                  <c:pt idx="51">
                    <c:v>0</c:v>
                  </c:pt>
                  <c:pt idx="52">
                    <c:v>0</c:v>
                  </c:pt>
                  <c:pt idx="53">
                    <c:v>2.0999999999999999E-3</c:v>
                  </c:pt>
                  <c:pt idx="54">
                    <c:v>0</c:v>
                  </c:pt>
                  <c:pt idx="55">
                    <c:v>6.0000000000000001E-3</c:v>
                  </c:pt>
                  <c:pt idx="56">
                    <c:v>1.1000000000000001E-3</c:v>
                  </c:pt>
                  <c:pt idx="57">
                    <c:v>6.0000000000000001E-3</c:v>
                  </c:pt>
                  <c:pt idx="58">
                    <c:v>2.3999999999999998E-3</c:v>
                  </c:pt>
                  <c:pt idx="59">
                    <c:v>4.0000000000000002E-4</c:v>
                  </c:pt>
                  <c:pt idx="60">
                    <c:v>1.9E-3</c:v>
                  </c:pt>
                  <c:pt idx="61">
                    <c:v>6.9999999999999999E-4</c:v>
                  </c:pt>
                  <c:pt idx="62">
                    <c:v>1E-4</c:v>
                  </c:pt>
                  <c:pt idx="6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B7-4BC1-9A33-1671BF02B2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-10184</c:v>
                </c:pt>
                <c:pt idx="1">
                  <c:v>-5561</c:v>
                </c:pt>
                <c:pt idx="2">
                  <c:v>-3933</c:v>
                </c:pt>
                <c:pt idx="3">
                  <c:v>-3866</c:v>
                </c:pt>
                <c:pt idx="4">
                  <c:v>-2672</c:v>
                </c:pt>
                <c:pt idx="5">
                  <c:v>-949</c:v>
                </c:pt>
                <c:pt idx="6">
                  <c:v>0</c:v>
                </c:pt>
                <c:pt idx="7">
                  <c:v>78</c:v>
                </c:pt>
                <c:pt idx="8">
                  <c:v>171</c:v>
                </c:pt>
                <c:pt idx="9">
                  <c:v>242</c:v>
                </c:pt>
                <c:pt idx="10">
                  <c:v>332</c:v>
                </c:pt>
                <c:pt idx="11">
                  <c:v>473</c:v>
                </c:pt>
                <c:pt idx="12">
                  <c:v>592</c:v>
                </c:pt>
                <c:pt idx="13">
                  <c:v>702</c:v>
                </c:pt>
                <c:pt idx="14">
                  <c:v>798</c:v>
                </c:pt>
                <c:pt idx="15">
                  <c:v>1000</c:v>
                </c:pt>
                <c:pt idx="16">
                  <c:v>1214</c:v>
                </c:pt>
                <c:pt idx="17">
                  <c:v>1347</c:v>
                </c:pt>
                <c:pt idx="18">
                  <c:v>1605</c:v>
                </c:pt>
                <c:pt idx="19">
                  <c:v>1697</c:v>
                </c:pt>
                <c:pt idx="20">
                  <c:v>1888</c:v>
                </c:pt>
                <c:pt idx="21">
                  <c:v>1974</c:v>
                </c:pt>
                <c:pt idx="22">
                  <c:v>2534</c:v>
                </c:pt>
                <c:pt idx="23">
                  <c:v>2729</c:v>
                </c:pt>
                <c:pt idx="24">
                  <c:v>9716</c:v>
                </c:pt>
                <c:pt idx="25">
                  <c:v>10280</c:v>
                </c:pt>
                <c:pt idx="26">
                  <c:v>10549</c:v>
                </c:pt>
                <c:pt idx="27">
                  <c:v>11191</c:v>
                </c:pt>
                <c:pt idx="28">
                  <c:v>11191</c:v>
                </c:pt>
                <c:pt idx="29">
                  <c:v>11412</c:v>
                </c:pt>
                <c:pt idx="30">
                  <c:v>11412</c:v>
                </c:pt>
                <c:pt idx="31">
                  <c:v>11412</c:v>
                </c:pt>
                <c:pt idx="32">
                  <c:v>11438</c:v>
                </c:pt>
                <c:pt idx="33">
                  <c:v>11438</c:v>
                </c:pt>
                <c:pt idx="34">
                  <c:v>11438</c:v>
                </c:pt>
                <c:pt idx="35">
                  <c:v>11438</c:v>
                </c:pt>
                <c:pt idx="36">
                  <c:v>11942</c:v>
                </c:pt>
                <c:pt idx="37">
                  <c:v>12167</c:v>
                </c:pt>
                <c:pt idx="38">
                  <c:v>12297</c:v>
                </c:pt>
                <c:pt idx="39">
                  <c:v>12319</c:v>
                </c:pt>
                <c:pt idx="40">
                  <c:v>12596</c:v>
                </c:pt>
                <c:pt idx="41">
                  <c:v>12666</c:v>
                </c:pt>
                <c:pt idx="42">
                  <c:v>12742</c:v>
                </c:pt>
                <c:pt idx="43">
                  <c:v>12835</c:v>
                </c:pt>
                <c:pt idx="44">
                  <c:v>13085</c:v>
                </c:pt>
                <c:pt idx="45">
                  <c:v>13245</c:v>
                </c:pt>
                <c:pt idx="46">
                  <c:v>13395</c:v>
                </c:pt>
                <c:pt idx="47">
                  <c:v>14206</c:v>
                </c:pt>
                <c:pt idx="48">
                  <c:v>14310</c:v>
                </c:pt>
                <c:pt idx="49">
                  <c:v>14579</c:v>
                </c:pt>
                <c:pt idx="50">
                  <c:v>15703</c:v>
                </c:pt>
                <c:pt idx="51">
                  <c:v>15842</c:v>
                </c:pt>
                <c:pt idx="52">
                  <c:v>15844</c:v>
                </c:pt>
                <c:pt idx="53">
                  <c:v>16002</c:v>
                </c:pt>
                <c:pt idx="54">
                  <c:v>16349</c:v>
                </c:pt>
                <c:pt idx="55">
                  <c:v>16371</c:v>
                </c:pt>
                <c:pt idx="56">
                  <c:v>16614</c:v>
                </c:pt>
                <c:pt idx="57">
                  <c:v>16614</c:v>
                </c:pt>
                <c:pt idx="58">
                  <c:v>16666</c:v>
                </c:pt>
                <c:pt idx="59">
                  <c:v>16857</c:v>
                </c:pt>
                <c:pt idx="60">
                  <c:v>18030</c:v>
                </c:pt>
                <c:pt idx="61">
                  <c:v>18232</c:v>
                </c:pt>
                <c:pt idx="62">
                  <c:v>19759</c:v>
                </c:pt>
                <c:pt idx="63">
                  <c:v>19755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0.24385037182452518</c:v>
                </c:pt>
                <c:pt idx="1">
                  <c:v>0.17906348649475681</c:v>
                </c:pt>
                <c:pt idx="2">
                  <c:v>0.15624863697780617</c:v>
                </c:pt>
                <c:pt idx="3">
                  <c:v>0.15530969661070806</c:v>
                </c:pt>
                <c:pt idx="4">
                  <c:v>0.13857693842690028</c:v>
                </c:pt>
                <c:pt idx="5">
                  <c:v>0.11443075555361649</c:v>
                </c:pt>
                <c:pt idx="6">
                  <c:v>0.10113143602561515</c:v>
                </c:pt>
                <c:pt idx="7">
                  <c:v>0.10003834126988902</c:v>
                </c:pt>
                <c:pt idx="8">
                  <c:v>9.8735035984215541E-2</c:v>
                </c:pt>
                <c:pt idx="9">
                  <c:v>9.7740039475798166E-2</c:v>
                </c:pt>
                <c:pt idx="10">
                  <c:v>9.6478776296114163E-2</c:v>
                </c:pt>
                <c:pt idx="11">
                  <c:v>9.4502797314609213E-2</c:v>
                </c:pt>
                <c:pt idx="12">
                  <c:v>9.2835127110360363E-2</c:v>
                </c:pt>
                <c:pt idx="13">
                  <c:v>9.1293583224079919E-2</c:v>
                </c:pt>
                <c:pt idx="14">
                  <c:v>8.9948235832416984E-2</c:v>
                </c:pt>
                <c:pt idx="15">
                  <c:v>8.7117400695792879E-2</c:v>
                </c:pt>
                <c:pt idx="16">
                  <c:v>8.4118397135210909E-2</c:v>
                </c:pt>
                <c:pt idx="17">
                  <c:v>8.225453043634455E-2</c:v>
                </c:pt>
                <c:pt idx="18">
                  <c:v>7.8638909321250408E-2</c:v>
                </c:pt>
                <c:pt idx="19">
                  <c:v>7.7349618070906762E-2</c:v>
                </c:pt>
                <c:pt idx="20">
                  <c:v>7.4672937322910693E-2</c:v>
                </c:pt>
                <c:pt idx="21">
                  <c:v>7.3467730284545979E-2</c:v>
                </c:pt>
                <c:pt idx="22">
                  <c:v>6.5619870499845509E-2</c:v>
                </c:pt>
                <c:pt idx="23">
                  <c:v>6.2887133610530166E-2</c:v>
                </c:pt>
                <c:pt idx="24">
                  <c:v>-3.5028931238938063E-2</c:v>
                </c:pt>
                <c:pt idx="25">
                  <c:v>-4.2932847164957835E-2</c:v>
                </c:pt>
                <c:pt idx="26">
                  <c:v>-4.6702622668680013E-2</c:v>
                </c:pt>
                <c:pt idx="27">
                  <c:v>-5.5699633350425923E-2</c:v>
                </c:pt>
                <c:pt idx="28">
                  <c:v>-5.5699633350425923E-2</c:v>
                </c:pt>
                <c:pt idx="29">
                  <c:v>-5.879673515831664E-2</c:v>
                </c:pt>
                <c:pt idx="30">
                  <c:v>-5.879673515831664E-2</c:v>
                </c:pt>
                <c:pt idx="31">
                  <c:v>-5.879673515831664E-2</c:v>
                </c:pt>
                <c:pt idx="32">
                  <c:v>-5.9161100076892029E-2</c:v>
                </c:pt>
                <c:pt idx="33">
                  <c:v>-5.9161100076892029E-2</c:v>
                </c:pt>
                <c:pt idx="34">
                  <c:v>-5.9161100076892029E-2</c:v>
                </c:pt>
                <c:pt idx="35">
                  <c:v>-5.9161100076892029E-2</c:v>
                </c:pt>
                <c:pt idx="36">
                  <c:v>-6.6224173883122447E-2</c:v>
                </c:pt>
                <c:pt idx="37">
                  <c:v>-6.9377331832332453E-2</c:v>
                </c:pt>
                <c:pt idx="38">
                  <c:v>-7.119915642520934E-2</c:v>
                </c:pt>
                <c:pt idx="39">
                  <c:v>-7.1507465202465439E-2</c:v>
                </c:pt>
                <c:pt idx="40">
                  <c:v>-7.5389352988826194E-2</c:v>
                </c:pt>
                <c:pt idx="41">
                  <c:v>-7.6370335461913755E-2</c:v>
                </c:pt>
                <c:pt idx="42">
                  <c:v>-7.7435402146980262E-2</c:v>
                </c:pt>
                <c:pt idx="43">
                  <c:v>-7.8738707432653723E-2</c:v>
                </c:pt>
                <c:pt idx="44">
                  <c:v>-8.2242216265109289E-2</c:v>
                </c:pt>
                <c:pt idx="45">
                  <c:v>-8.4484461917880851E-2</c:v>
                </c:pt>
                <c:pt idx="46">
                  <c:v>-8.6586567217354207E-2</c:v>
                </c:pt>
                <c:pt idx="47">
                  <c:v>-9.7951949869840058E-2</c:v>
                </c:pt>
                <c:pt idx="48">
                  <c:v>-9.9409409544141583E-2</c:v>
                </c:pt>
                <c:pt idx="49">
                  <c:v>-0.10317918504786379</c:v>
                </c:pt>
                <c:pt idx="50">
                  <c:v>-0.11893096075858402</c:v>
                </c:pt>
                <c:pt idx="51">
                  <c:v>-0.12087891166942931</c:v>
                </c:pt>
                <c:pt idx="52">
                  <c:v>-0.12090693974008897</c:v>
                </c:pt>
                <c:pt idx="53">
                  <c:v>-0.12312115732220087</c:v>
                </c:pt>
                <c:pt idx="54">
                  <c:v>-0.12798402758164923</c:v>
                </c:pt>
                <c:pt idx="55">
                  <c:v>-0.1282923363589053</c:v>
                </c:pt>
                <c:pt idx="56">
                  <c:v>-0.13169774694405212</c:v>
                </c:pt>
                <c:pt idx="57">
                  <c:v>-0.13169774694405212</c:v>
                </c:pt>
                <c:pt idx="58">
                  <c:v>-0.13242647678120284</c:v>
                </c:pt>
                <c:pt idx="59">
                  <c:v>-0.13510315752919894</c:v>
                </c:pt>
                <c:pt idx="60">
                  <c:v>-0.15154162097108048</c:v>
                </c:pt>
                <c:pt idx="61">
                  <c:v>-0.15437245610770456</c:v>
                </c:pt>
                <c:pt idx="62">
                  <c:v>-0.1757718880563432</c:v>
                </c:pt>
                <c:pt idx="63">
                  <c:v>-0.17571583191502388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B7-4BC1-9A33-1671BF02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513488"/>
        <c:axId val="1"/>
      </c:scatterChart>
      <c:valAx>
        <c:axId val="958513488"/>
        <c:scaling>
          <c:orientation val="minMax"/>
          <c:max val="2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35807050092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513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8645640074212"/>
          <c:y val="0.9204921861831491"/>
          <c:w val="0.7755102040816326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0</xdr:row>
      <xdr:rowOff>19049</xdr:rowOff>
    </xdr:from>
    <xdr:to>
      <xdr:col>17</xdr:col>
      <xdr:colOff>352424</xdr:colOff>
      <xdr:row>18</xdr:row>
      <xdr:rowOff>57149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48EA0DA-AADE-556D-9FC1-C2A49A25F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104776</xdr:rowOff>
    </xdr:from>
    <xdr:to>
      <xdr:col>26</xdr:col>
      <xdr:colOff>542925</xdr:colOff>
      <xdr:row>18</xdr:row>
      <xdr:rowOff>57151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1BB717AA-C449-24B8-92EC-19855B49F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2" TargetMode="External"/><Relationship Id="rId13" Type="http://schemas.openxmlformats.org/officeDocument/2006/relationships/hyperlink" Target="http://www.bav-astro.de/sfs/BAVM_link.php?BAVMnr=178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konkoly.hu/cgi-bin/IBVS?5809" TargetMode="External"/><Relationship Id="rId12" Type="http://schemas.openxmlformats.org/officeDocument/2006/relationships/hyperlink" Target="http://var.astro.cz/oejv/issues/oejv0003.pdf" TargetMode="External"/><Relationship Id="rId2" Type="http://schemas.openxmlformats.org/officeDocument/2006/relationships/hyperlink" Target="http://www.bav-astro.de/sfs/BAVM_link.php?BAVMnr=79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809" TargetMode="External"/><Relationship Id="rId11" Type="http://schemas.openxmlformats.org/officeDocument/2006/relationships/hyperlink" Target="http://www.konkoly.hu/cgi-bin/IBVS?5713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konkoly.hu/cgi-bin/IBVS?5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tabSelected="1" workbookViewId="0">
      <pane xSplit="14" ySplit="22" topLeftCell="O6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9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59" t="s">
        <v>292</v>
      </c>
    </row>
    <row r="2" spans="1:6">
      <c r="A2" t="s">
        <v>25</v>
      </c>
      <c r="B2" t="s">
        <v>42</v>
      </c>
    </row>
    <row r="4" spans="1:6" ht="14.25" thickTop="1" thickBot="1">
      <c r="A4" s="4" t="s">
        <v>1</v>
      </c>
      <c r="C4" s="48">
        <v>32529.706600000001</v>
      </c>
      <c r="D4" s="2">
        <v>1.2677746599999999</v>
      </c>
    </row>
    <row r="5" spans="1:6" ht="13.5" thickTop="1">
      <c r="A5" s="14" t="s">
        <v>45</v>
      </c>
      <c r="B5" s="8"/>
      <c r="C5" s="57">
        <v>-9.5</v>
      </c>
      <c r="D5" s="8" t="s">
        <v>46</v>
      </c>
    </row>
    <row r="6" spans="1:6">
      <c r="A6" s="4" t="s">
        <v>2</v>
      </c>
    </row>
    <row r="7" spans="1:6">
      <c r="A7" t="s">
        <v>3</v>
      </c>
      <c r="C7" s="60">
        <f>+C4</f>
        <v>32529.706600000001</v>
      </c>
    </row>
    <row r="8" spans="1:6">
      <c r="A8" t="s">
        <v>4</v>
      </c>
      <c r="C8" s="60">
        <f>+D4</f>
        <v>1.2677746599999999</v>
      </c>
    </row>
    <row r="9" spans="1:6">
      <c r="A9" s="24" t="s">
        <v>52</v>
      </c>
      <c r="B9" s="25">
        <v>58</v>
      </c>
      <c r="C9" s="17" t="str">
        <f>"F"&amp;B9</f>
        <v>F58</v>
      </c>
      <c r="D9" s="7" t="str">
        <f>"G"&amp;B9</f>
        <v>G58</v>
      </c>
    </row>
    <row r="10" spans="1:6" ht="13.5" thickBot="1">
      <c r="A10" s="8"/>
      <c r="B10" s="8"/>
      <c r="C10" s="49" t="s">
        <v>21</v>
      </c>
      <c r="D10" s="3" t="s">
        <v>22</v>
      </c>
      <c r="E10" s="8"/>
    </row>
    <row r="11" spans="1:6">
      <c r="A11" s="8" t="s">
        <v>17</v>
      </c>
      <c r="B11" s="8"/>
      <c r="C11" s="17">
        <f ca="1">INTERCEPT(INDIRECT($D$9):G992,INDIRECT($C$9):F992)</f>
        <v>0.10113143602561515</v>
      </c>
      <c r="D11" s="16"/>
      <c r="E11" s="8"/>
    </row>
    <row r="12" spans="1:6">
      <c r="A12" s="8" t="s">
        <v>18</v>
      </c>
      <c r="B12" s="8"/>
      <c r="C12" s="17">
        <f ca="1">SLOPE(INDIRECT($D$9):G992,INDIRECT($C$9):F992)</f>
        <v>-1.4014035329822274E-5</v>
      </c>
      <c r="D12" s="16"/>
      <c r="E12" s="8"/>
    </row>
    <row r="13" spans="1:6">
      <c r="A13" s="8" t="s">
        <v>20</v>
      </c>
      <c r="B13" s="8"/>
      <c r="C13" s="9" t="s">
        <v>15</v>
      </c>
    </row>
    <row r="14" spans="1:6">
      <c r="A14" s="8"/>
      <c r="B14" s="8"/>
      <c r="C14" s="50"/>
    </row>
    <row r="15" spans="1:6">
      <c r="A15" s="20" t="s">
        <v>19</v>
      </c>
      <c r="B15" s="8"/>
      <c r="C15" s="51">
        <f ca="1">(C7+C11)+(C8+C12)*INT(MAX(F21:F3533))</f>
        <v>57579.490335051945</v>
      </c>
      <c r="E15" s="18" t="s">
        <v>47</v>
      </c>
      <c r="F15" s="15">
        <v>1</v>
      </c>
    </row>
    <row r="16" spans="1:6">
      <c r="A16" s="21" t="s">
        <v>5</v>
      </c>
      <c r="B16" s="8"/>
      <c r="C16" s="52">
        <f ca="1">+C8+C12</f>
        <v>1.2677606459646702</v>
      </c>
      <c r="E16" s="18" t="s">
        <v>48</v>
      </c>
      <c r="F16" s="19">
        <f ca="1">NOW()+15018.5+$C$5/24</f>
        <v>60340.765537037034</v>
      </c>
    </row>
    <row r="17" spans="1:17" ht="13.5" thickBot="1">
      <c r="A17" s="18" t="s">
        <v>41</v>
      </c>
      <c r="B17" s="8"/>
      <c r="C17" s="58">
        <f>COUNT(C21:C2191)</f>
        <v>64</v>
      </c>
      <c r="E17" s="18" t="s">
        <v>49</v>
      </c>
      <c r="F17" s="19">
        <f ca="1">ROUND(2*(F16-$C$7)/$C$8,0)/2+F15</f>
        <v>21938</v>
      </c>
    </row>
    <row r="18" spans="1:17" ht="14.25" thickTop="1" thickBot="1">
      <c r="A18" s="21" t="s">
        <v>6</v>
      </c>
      <c r="B18" s="8"/>
      <c r="C18" s="53">
        <f ca="1">+C15</f>
        <v>57579.490335051945</v>
      </c>
      <c r="D18" s="23">
        <f ca="1">+C16</f>
        <v>1.2677606459646702</v>
      </c>
      <c r="E18" s="18" t="s">
        <v>50</v>
      </c>
      <c r="F18" s="7">
        <f ca="1">ROUND(2*(F16-$C$15)/$C$16,0)/2+F15</f>
        <v>2179</v>
      </c>
    </row>
    <row r="19" spans="1:17" ht="13.5" thickTop="1">
      <c r="E19" s="18" t="s">
        <v>51</v>
      </c>
      <c r="F19" s="22">
        <f ca="1">+$C$15+$C$16*F18-15018.5-$C$5/24</f>
        <v>45323.836615942295</v>
      </c>
    </row>
    <row r="20" spans="1:17" ht="13.5" thickBot="1">
      <c r="A20" s="3" t="s">
        <v>7</v>
      </c>
      <c r="B20" s="3" t="s">
        <v>8</v>
      </c>
      <c r="C20" s="49" t="s">
        <v>9</v>
      </c>
      <c r="D20" s="3" t="s">
        <v>14</v>
      </c>
      <c r="E20" s="3" t="s">
        <v>10</v>
      </c>
      <c r="F20" s="3" t="s">
        <v>11</v>
      </c>
      <c r="G20" s="3" t="s">
        <v>12</v>
      </c>
      <c r="H20" s="6" t="s">
        <v>63</v>
      </c>
      <c r="I20" s="6" t="s">
        <v>66</v>
      </c>
      <c r="J20" s="6" t="s">
        <v>60</v>
      </c>
      <c r="K20" s="6" t="s">
        <v>58</v>
      </c>
      <c r="L20" s="6" t="s">
        <v>26</v>
      </c>
      <c r="M20" s="6" t="s">
        <v>27</v>
      </c>
      <c r="N20" s="6" t="s">
        <v>28</v>
      </c>
      <c r="O20" s="6" t="s">
        <v>24</v>
      </c>
      <c r="P20" s="5" t="s">
        <v>23</v>
      </c>
      <c r="Q20" s="3" t="s">
        <v>16</v>
      </c>
    </row>
    <row r="21" spans="1:17">
      <c r="A21" s="32" t="s">
        <v>73</v>
      </c>
      <c r="B21" s="32" t="s">
        <v>39</v>
      </c>
      <c r="C21" s="13">
        <v>19618.68</v>
      </c>
      <c r="D21" s="13" t="s">
        <v>66</v>
      </c>
      <c r="E21">
        <f t="shared" ref="E21:E52" si="0">+(C21-C$7)/C$8</f>
        <v>-10184.007463913185</v>
      </c>
      <c r="F21">
        <f t="shared" ref="F21:F52" si="1">ROUND(2*E21,0)/2</f>
        <v>-10184</v>
      </c>
      <c r="G21">
        <f t="shared" ref="G21:G26" si="2">+C21-(C$7+F21*C$8)</f>
        <v>-9.4625600031577051E-3</v>
      </c>
      <c r="I21">
        <f t="shared" ref="I21:I26" si="3">+G21</f>
        <v>-9.4625600031577051E-3</v>
      </c>
      <c r="O21">
        <f t="shared" ref="O21:O52" ca="1" si="4">+C$11+C$12*F21</f>
        <v>0.24385037182452518</v>
      </c>
      <c r="Q21" s="1">
        <f t="shared" ref="Q21:Q52" si="5">+C21-15018.5</f>
        <v>4600.18</v>
      </c>
    </row>
    <row r="22" spans="1:17">
      <c r="A22" t="s">
        <v>73</v>
      </c>
      <c r="B22" t="s">
        <v>39</v>
      </c>
      <c r="C22" s="9">
        <v>25479.633000000002</v>
      </c>
      <c r="D22" s="9" t="s">
        <v>66</v>
      </c>
      <c r="E22">
        <f t="shared" si="0"/>
        <v>-5560.9832113224284</v>
      </c>
      <c r="F22">
        <f t="shared" si="1"/>
        <v>-5561</v>
      </c>
      <c r="G22">
        <f t="shared" si="2"/>
        <v>2.1284260001266375E-2</v>
      </c>
      <c r="I22">
        <f t="shared" si="3"/>
        <v>2.1284260001266375E-2</v>
      </c>
      <c r="O22">
        <f t="shared" ca="1" si="4"/>
        <v>0.17906348649475681</v>
      </c>
      <c r="Q22" s="1">
        <f t="shared" si="5"/>
        <v>10461.133000000002</v>
      </c>
    </row>
    <row r="23" spans="1:17">
      <c r="A23" t="s">
        <v>81</v>
      </c>
      <c r="B23" t="s">
        <v>39</v>
      </c>
      <c r="C23" s="9">
        <v>27543.564999999999</v>
      </c>
      <c r="D23" s="9" t="s">
        <v>66</v>
      </c>
      <c r="E23">
        <f t="shared" si="0"/>
        <v>-3932.9872707820196</v>
      </c>
      <c r="F23">
        <f t="shared" si="1"/>
        <v>-3933</v>
      </c>
      <c r="G23">
        <f t="shared" si="2"/>
        <v>1.613777999591548E-2</v>
      </c>
      <c r="I23">
        <f t="shared" si="3"/>
        <v>1.613777999591548E-2</v>
      </c>
      <c r="O23">
        <f t="shared" ca="1" si="4"/>
        <v>0.15624863697780617</v>
      </c>
      <c r="Q23" s="1">
        <f t="shared" si="5"/>
        <v>12525.064999999999</v>
      </c>
    </row>
    <row r="24" spans="1:17">
      <c r="A24" t="s">
        <v>81</v>
      </c>
      <c r="B24" t="s">
        <v>39</v>
      </c>
      <c r="C24" s="9">
        <v>27628.501</v>
      </c>
      <c r="D24" s="9" t="s">
        <v>66</v>
      </c>
      <c r="E24">
        <f t="shared" si="0"/>
        <v>-3865.9911375732981</v>
      </c>
      <c r="F24">
        <f t="shared" si="1"/>
        <v>-3866</v>
      </c>
      <c r="G24">
        <f t="shared" si="2"/>
        <v>1.1235559999477118E-2</v>
      </c>
      <c r="I24">
        <f t="shared" si="3"/>
        <v>1.1235559999477118E-2</v>
      </c>
      <c r="O24">
        <f t="shared" ca="1" si="4"/>
        <v>0.15530969661070806</v>
      </c>
      <c r="Q24" s="1">
        <f t="shared" si="5"/>
        <v>12610.001</v>
      </c>
    </row>
    <row r="25" spans="1:17">
      <c r="A25" t="s">
        <v>73</v>
      </c>
      <c r="B25" t="s">
        <v>39</v>
      </c>
      <c r="C25" s="9">
        <v>29142.22</v>
      </c>
      <c r="D25" s="9" t="s">
        <v>66</v>
      </c>
      <c r="E25">
        <f t="shared" si="0"/>
        <v>-2671.9942485678016</v>
      </c>
      <c r="F25">
        <f t="shared" si="1"/>
        <v>-2672</v>
      </c>
      <c r="G25">
        <f t="shared" si="2"/>
        <v>7.2915199998533353E-3</v>
      </c>
      <c r="I25">
        <f t="shared" si="3"/>
        <v>7.2915199998533353E-3</v>
      </c>
      <c r="O25">
        <f t="shared" ca="1" si="4"/>
        <v>0.13857693842690028</v>
      </c>
      <c r="Q25" s="1">
        <f t="shared" si="5"/>
        <v>14123.720000000001</v>
      </c>
    </row>
    <row r="26" spans="1:17">
      <c r="A26" t="s">
        <v>73</v>
      </c>
      <c r="B26" t="s">
        <v>39</v>
      </c>
      <c r="C26" s="9">
        <v>31326.554</v>
      </c>
      <c r="D26" s="9" t="s">
        <v>66</v>
      </c>
      <c r="E26">
        <f t="shared" si="0"/>
        <v>-949.02717175306316</v>
      </c>
      <c r="F26">
        <f t="shared" si="1"/>
        <v>-949</v>
      </c>
      <c r="G26">
        <f t="shared" si="2"/>
        <v>-3.444766000029631E-2</v>
      </c>
      <c r="I26">
        <f t="shared" si="3"/>
        <v>-3.444766000029631E-2</v>
      </c>
      <c r="O26">
        <f t="shared" ca="1" si="4"/>
        <v>0.11443075555361649</v>
      </c>
      <c r="Q26" s="1">
        <f t="shared" si="5"/>
        <v>16308.054</v>
      </c>
    </row>
    <row r="27" spans="1:17">
      <c r="A27" t="s">
        <v>13</v>
      </c>
      <c r="C27" s="9">
        <v>32529.706600000001</v>
      </c>
      <c r="D27" s="9" t="s">
        <v>15</v>
      </c>
      <c r="E27">
        <f t="shared" si="0"/>
        <v>0</v>
      </c>
      <c r="F27">
        <f t="shared" si="1"/>
        <v>0</v>
      </c>
      <c r="H27" s="7">
        <v>0</v>
      </c>
      <c r="O27">
        <f t="shared" ca="1" si="4"/>
        <v>0.10113143602561515</v>
      </c>
      <c r="Q27" s="1">
        <f t="shared" si="5"/>
        <v>17511.206600000001</v>
      </c>
    </row>
    <row r="28" spans="1:17">
      <c r="A28" t="s">
        <v>73</v>
      </c>
      <c r="B28" t="s">
        <v>39</v>
      </c>
      <c r="C28" s="9">
        <v>32628.588</v>
      </c>
      <c r="D28" s="9" t="s">
        <v>66</v>
      </c>
      <c r="E28">
        <f t="shared" si="0"/>
        <v>77.996037560806272</v>
      </c>
      <c r="F28">
        <f t="shared" si="1"/>
        <v>78</v>
      </c>
      <c r="G28">
        <f t="shared" ref="G28:G59" si="6">+C28-(C$7+F28*C$8)</f>
        <v>-5.0234800000907853E-3</v>
      </c>
      <c r="I28">
        <f t="shared" ref="I28:I64" si="7">+G28</f>
        <v>-5.0234800000907853E-3</v>
      </c>
      <c r="O28">
        <f t="shared" ca="1" si="4"/>
        <v>0.10003834126988902</v>
      </c>
      <c r="Q28" s="1">
        <f t="shared" si="5"/>
        <v>17610.088</v>
      </c>
    </row>
    <row r="29" spans="1:17">
      <c r="A29" t="s">
        <v>73</v>
      </c>
      <c r="B29" t="s">
        <v>39</v>
      </c>
      <c r="C29" s="9">
        <v>32746.495999999999</v>
      </c>
      <c r="D29" s="9" t="s">
        <v>66</v>
      </c>
      <c r="E29">
        <f t="shared" si="0"/>
        <v>170.99994726191943</v>
      </c>
      <c r="F29">
        <f t="shared" si="1"/>
        <v>171</v>
      </c>
      <c r="G29">
        <f t="shared" si="6"/>
        <v>-6.6860000515589491E-5</v>
      </c>
      <c r="I29">
        <f t="shared" si="7"/>
        <v>-6.6860000515589491E-5</v>
      </c>
      <c r="O29">
        <f t="shared" ca="1" si="4"/>
        <v>9.8735035984215541E-2</v>
      </c>
      <c r="Q29" s="1">
        <f t="shared" si="5"/>
        <v>17727.995999999999</v>
      </c>
    </row>
    <row r="30" spans="1:17">
      <c r="A30" t="s">
        <v>73</v>
      </c>
      <c r="B30" t="s">
        <v>39</v>
      </c>
      <c r="C30" s="9">
        <v>32836.510999999999</v>
      </c>
      <c r="D30" s="9" t="s">
        <v>66</v>
      </c>
      <c r="E30">
        <f t="shared" si="0"/>
        <v>242.00231293469557</v>
      </c>
      <c r="F30">
        <f t="shared" si="1"/>
        <v>242</v>
      </c>
      <c r="G30">
        <f t="shared" si="6"/>
        <v>2.9322799964575097E-3</v>
      </c>
      <c r="I30">
        <f t="shared" si="7"/>
        <v>2.9322799964575097E-3</v>
      </c>
      <c r="O30">
        <f t="shared" ca="1" si="4"/>
        <v>9.7740039475798166E-2</v>
      </c>
      <c r="Q30" s="1">
        <f t="shared" si="5"/>
        <v>17818.010999999999</v>
      </c>
    </row>
    <row r="31" spans="1:17">
      <c r="A31" t="s">
        <v>73</v>
      </c>
      <c r="B31" t="s">
        <v>39</v>
      </c>
      <c r="C31" s="9">
        <v>32950.612000000001</v>
      </c>
      <c r="D31" s="9" t="s">
        <v>66</v>
      </c>
      <c r="E31">
        <f t="shared" si="0"/>
        <v>332.00332305111669</v>
      </c>
      <c r="F31">
        <f t="shared" si="1"/>
        <v>332</v>
      </c>
      <c r="G31">
        <f t="shared" si="6"/>
        <v>4.2128799977945164E-3</v>
      </c>
      <c r="I31">
        <f t="shared" si="7"/>
        <v>4.2128799977945164E-3</v>
      </c>
      <c r="O31">
        <f t="shared" ca="1" si="4"/>
        <v>9.6478776296114163E-2</v>
      </c>
      <c r="Q31" s="1">
        <f t="shared" si="5"/>
        <v>17932.112000000001</v>
      </c>
    </row>
    <row r="32" spans="1:17">
      <c r="A32" t="s">
        <v>73</v>
      </c>
      <c r="B32" t="s">
        <v>39</v>
      </c>
      <c r="C32" s="9">
        <v>33129.366999999998</v>
      </c>
      <c r="D32" s="9" t="s">
        <v>66</v>
      </c>
      <c r="E32">
        <f t="shared" si="0"/>
        <v>473.00235516617522</v>
      </c>
      <c r="F32">
        <f t="shared" si="1"/>
        <v>473</v>
      </c>
      <c r="G32">
        <f t="shared" si="6"/>
        <v>2.9858199995942414E-3</v>
      </c>
      <c r="I32">
        <f t="shared" si="7"/>
        <v>2.9858199995942414E-3</v>
      </c>
      <c r="O32">
        <f t="shared" ca="1" si="4"/>
        <v>9.4502797314609213E-2</v>
      </c>
      <c r="Q32" s="1">
        <f t="shared" si="5"/>
        <v>18110.866999999998</v>
      </c>
    </row>
    <row r="33" spans="1:17">
      <c r="A33" t="s">
        <v>73</v>
      </c>
      <c r="B33" t="s">
        <v>39</v>
      </c>
      <c r="C33" s="9">
        <v>33280.224000000002</v>
      </c>
      <c r="D33" s="9" t="s">
        <v>66</v>
      </c>
      <c r="E33">
        <f t="shared" si="0"/>
        <v>591.99589933435072</v>
      </c>
      <c r="F33">
        <f t="shared" si="1"/>
        <v>592</v>
      </c>
      <c r="G33">
        <f t="shared" si="6"/>
        <v>-5.1987199985887855E-3</v>
      </c>
      <c r="I33">
        <f t="shared" si="7"/>
        <v>-5.1987199985887855E-3</v>
      </c>
      <c r="O33">
        <f t="shared" ca="1" si="4"/>
        <v>9.2835127110360363E-2</v>
      </c>
      <c r="Q33" s="1">
        <f t="shared" si="5"/>
        <v>18261.724000000002</v>
      </c>
    </row>
    <row r="34" spans="1:17">
      <c r="A34" t="s">
        <v>73</v>
      </c>
      <c r="B34" t="s">
        <v>39</v>
      </c>
      <c r="C34" s="9">
        <v>33419.692000000003</v>
      </c>
      <c r="D34" s="9" t="s">
        <v>66</v>
      </c>
      <c r="E34">
        <f t="shared" si="0"/>
        <v>702.00598582716702</v>
      </c>
      <c r="F34">
        <f t="shared" si="1"/>
        <v>702</v>
      </c>
      <c r="G34">
        <f t="shared" si="6"/>
        <v>7.5886800041189417E-3</v>
      </c>
      <c r="I34">
        <f t="shared" si="7"/>
        <v>7.5886800041189417E-3</v>
      </c>
      <c r="O34">
        <f t="shared" ca="1" si="4"/>
        <v>9.1293583224079919E-2</v>
      </c>
      <c r="Q34" s="1">
        <f t="shared" si="5"/>
        <v>18401.192000000003</v>
      </c>
    </row>
    <row r="35" spans="1:17">
      <c r="A35" t="s">
        <v>73</v>
      </c>
      <c r="B35" t="s">
        <v>39</v>
      </c>
      <c r="C35" s="9">
        <v>33541.394</v>
      </c>
      <c r="D35" s="9" t="s">
        <v>66</v>
      </c>
      <c r="E35">
        <f t="shared" si="0"/>
        <v>798.00254092474052</v>
      </c>
      <c r="F35">
        <f t="shared" si="1"/>
        <v>798</v>
      </c>
      <c r="G35">
        <f t="shared" si="6"/>
        <v>3.2213199956458993E-3</v>
      </c>
      <c r="I35">
        <f t="shared" si="7"/>
        <v>3.2213199956458993E-3</v>
      </c>
      <c r="O35">
        <f t="shared" ca="1" si="4"/>
        <v>8.9948235832416984E-2</v>
      </c>
      <c r="Q35" s="1">
        <f t="shared" si="5"/>
        <v>18522.894</v>
      </c>
    </row>
    <row r="36" spans="1:17">
      <c r="A36" t="s">
        <v>73</v>
      </c>
      <c r="B36" t="s">
        <v>39</v>
      </c>
      <c r="C36" s="9">
        <v>33797.481</v>
      </c>
      <c r="D36" t="s">
        <v>66</v>
      </c>
      <c r="E36">
        <f t="shared" si="0"/>
        <v>999.99979491623412</v>
      </c>
      <c r="F36">
        <f t="shared" si="1"/>
        <v>1000</v>
      </c>
      <c r="G36">
        <f t="shared" si="6"/>
        <v>-2.6000000070780516E-4</v>
      </c>
      <c r="I36">
        <f t="shared" si="7"/>
        <v>-2.6000000070780516E-4</v>
      </c>
      <c r="O36">
        <f t="shared" ca="1" si="4"/>
        <v>8.7117400695792879E-2</v>
      </c>
      <c r="Q36" s="1">
        <f t="shared" si="5"/>
        <v>18778.981</v>
      </c>
    </row>
    <row r="37" spans="1:17">
      <c r="A37" t="s">
        <v>73</v>
      </c>
      <c r="B37" t="s">
        <v>39</v>
      </c>
      <c r="C37" s="9">
        <v>34068.786</v>
      </c>
      <c r="D37" t="s">
        <v>66</v>
      </c>
      <c r="E37">
        <f t="shared" si="0"/>
        <v>1214.0007594094038</v>
      </c>
      <c r="F37">
        <f t="shared" si="1"/>
        <v>1214</v>
      </c>
      <c r="G37">
        <f t="shared" si="6"/>
        <v>9.6276000112993643E-4</v>
      </c>
      <c r="I37">
        <f t="shared" si="7"/>
        <v>9.6276000112993643E-4</v>
      </c>
      <c r="O37">
        <f t="shared" ca="1" si="4"/>
        <v>8.4118397135210909E-2</v>
      </c>
      <c r="Q37" s="1">
        <f t="shared" si="5"/>
        <v>19050.286</v>
      </c>
    </row>
    <row r="38" spans="1:17">
      <c r="A38" t="s">
        <v>73</v>
      </c>
      <c r="B38" t="s">
        <v>39</v>
      </c>
      <c r="C38" s="9">
        <v>34237.402999999998</v>
      </c>
      <c r="D38" t="s">
        <v>66</v>
      </c>
      <c r="E38">
        <f t="shared" si="0"/>
        <v>1347.0031022705543</v>
      </c>
      <c r="F38">
        <f t="shared" si="1"/>
        <v>1347</v>
      </c>
      <c r="G38">
        <f t="shared" si="6"/>
        <v>3.9329799983534031E-3</v>
      </c>
      <c r="I38">
        <f t="shared" si="7"/>
        <v>3.9329799983534031E-3</v>
      </c>
      <c r="O38">
        <f t="shared" ca="1" si="4"/>
        <v>8.225453043634455E-2</v>
      </c>
      <c r="Q38" s="1">
        <f t="shared" si="5"/>
        <v>19218.902999999998</v>
      </c>
    </row>
    <row r="39" spans="1:17">
      <c r="A39" t="s">
        <v>73</v>
      </c>
      <c r="B39" t="s">
        <v>39</v>
      </c>
      <c r="C39" s="9">
        <v>34564.487000000001</v>
      </c>
      <c r="D39" t="s">
        <v>66</v>
      </c>
      <c r="E39">
        <f t="shared" si="0"/>
        <v>1605.0016333344286</v>
      </c>
      <c r="F39">
        <f t="shared" si="1"/>
        <v>1605</v>
      </c>
      <c r="G39">
        <f t="shared" si="6"/>
        <v>2.0707000003312714E-3</v>
      </c>
      <c r="I39">
        <f t="shared" si="7"/>
        <v>2.0707000003312714E-3</v>
      </c>
      <c r="O39">
        <f t="shared" ca="1" si="4"/>
        <v>7.8638909321250408E-2</v>
      </c>
      <c r="Q39" s="1">
        <f t="shared" si="5"/>
        <v>19545.987000000001</v>
      </c>
    </row>
    <row r="40" spans="1:17">
      <c r="A40" t="s">
        <v>73</v>
      </c>
      <c r="B40" t="s">
        <v>39</v>
      </c>
      <c r="C40" s="9">
        <v>34681.122000000003</v>
      </c>
      <c r="D40" t="s">
        <v>66</v>
      </c>
      <c r="E40">
        <f t="shared" si="0"/>
        <v>1697.0014213724714</v>
      </c>
      <c r="F40">
        <f t="shared" si="1"/>
        <v>1697</v>
      </c>
      <c r="G40">
        <f t="shared" si="6"/>
        <v>1.8019800045294687E-3</v>
      </c>
      <c r="I40">
        <f t="shared" si="7"/>
        <v>1.8019800045294687E-3</v>
      </c>
      <c r="O40">
        <f t="shared" ca="1" si="4"/>
        <v>7.7349618070906762E-2</v>
      </c>
      <c r="Q40" s="1">
        <f t="shared" si="5"/>
        <v>19662.622000000003</v>
      </c>
    </row>
    <row r="41" spans="1:17">
      <c r="A41" t="s">
        <v>73</v>
      </c>
      <c r="B41" t="s">
        <v>39</v>
      </c>
      <c r="C41" s="9">
        <v>34923.267999999996</v>
      </c>
      <c r="D41" t="s">
        <v>66</v>
      </c>
      <c r="E41">
        <f t="shared" si="0"/>
        <v>1888.0022416601978</v>
      </c>
      <c r="F41">
        <f t="shared" si="1"/>
        <v>1888</v>
      </c>
      <c r="G41">
        <f t="shared" si="6"/>
        <v>2.8419199952622876E-3</v>
      </c>
      <c r="I41">
        <f t="shared" si="7"/>
        <v>2.8419199952622876E-3</v>
      </c>
      <c r="O41">
        <f t="shared" ca="1" si="4"/>
        <v>7.4672937322910693E-2</v>
      </c>
      <c r="Q41" s="1">
        <f t="shared" si="5"/>
        <v>19904.767999999996</v>
      </c>
    </row>
    <row r="42" spans="1:17">
      <c r="A42" t="s">
        <v>73</v>
      </c>
      <c r="B42" t="s">
        <v>39</v>
      </c>
      <c r="C42" s="9">
        <v>35032.298000000003</v>
      </c>
      <c r="D42" t="s">
        <v>66</v>
      </c>
      <c r="E42">
        <f t="shared" si="0"/>
        <v>1974.003329582247</v>
      </c>
      <c r="F42">
        <f t="shared" si="1"/>
        <v>1974</v>
      </c>
      <c r="G42">
        <f t="shared" si="6"/>
        <v>4.2211600011796691E-3</v>
      </c>
      <c r="I42">
        <f t="shared" si="7"/>
        <v>4.2211600011796691E-3</v>
      </c>
      <c r="O42">
        <f t="shared" ca="1" si="4"/>
        <v>7.3467730284545979E-2</v>
      </c>
      <c r="Q42" s="1">
        <f t="shared" si="5"/>
        <v>20013.798000000003</v>
      </c>
    </row>
    <row r="43" spans="1:17">
      <c r="A43" t="s">
        <v>73</v>
      </c>
      <c r="B43" t="s">
        <v>39</v>
      </c>
      <c r="C43" s="9">
        <v>35742.237999999998</v>
      </c>
      <c r="D43" t="s">
        <v>66</v>
      </c>
      <c r="E43">
        <f t="shared" si="0"/>
        <v>2533.9924367947192</v>
      </c>
      <c r="F43">
        <f t="shared" si="1"/>
        <v>2534</v>
      </c>
      <c r="G43">
        <f t="shared" si="6"/>
        <v>-9.5884400070644915E-3</v>
      </c>
      <c r="I43">
        <f t="shared" si="7"/>
        <v>-9.5884400070644915E-3</v>
      </c>
      <c r="O43">
        <f t="shared" ca="1" si="4"/>
        <v>6.5619870499845509E-2</v>
      </c>
      <c r="Q43" s="1">
        <f t="shared" si="5"/>
        <v>20723.737999999998</v>
      </c>
    </row>
    <row r="44" spans="1:17">
      <c r="A44" t="s">
        <v>73</v>
      </c>
      <c r="B44" t="s">
        <v>39</v>
      </c>
      <c r="C44" s="9">
        <v>35989.462</v>
      </c>
      <c r="D44" t="s">
        <v>66</v>
      </c>
      <c r="E44">
        <f t="shared" si="0"/>
        <v>2728.9987007627983</v>
      </c>
      <c r="F44">
        <f t="shared" si="1"/>
        <v>2729</v>
      </c>
      <c r="G44">
        <f t="shared" si="6"/>
        <v>-1.6471400012960657E-3</v>
      </c>
      <c r="I44">
        <f t="shared" si="7"/>
        <v>-1.6471400012960657E-3</v>
      </c>
      <c r="O44">
        <f t="shared" ca="1" si="4"/>
        <v>6.2887133610530166E-2</v>
      </c>
      <c r="Q44" s="1">
        <f t="shared" si="5"/>
        <v>20970.962</v>
      </c>
    </row>
    <row r="45" spans="1:17">
      <c r="A45" t="s">
        <v>137</v>
      </c>
      <c r="B45" t="s">
        <v>39</v>
      </c>
      <c r="C45" s="9">
        <v>44847.409</v>
      </c>
      <c r="D45" t="s">
        <v>66</v>
      </c>
      <c r="E45">
        <f t="shared" si="0"/>
        <v>9716.003000091514</v>
      </c>
      <c r="F45">
        <f t="shared" si="1"/>
        <v>9716</v>
      </c>
      <c r="G45">
        <f t="shared" si="6"/>
        <v>3.8034399985917844E-3</v>
      </c>
      <c r="I45">
        <f t="shared" si="7"/>
        <v>3.8034399985917844E-3</v>
      </c>
      <c r="O45">
        <f t="shared" ca="1" si="4"/>
        <v>-3.5028931238938063E-2</v>
      </c>
      <c r="Q45" s="1">
        <f t="shared" si="5"/>
        <v>29828.909</v>
      </c>
    </row>
    <row r="46" spans="1:17">
      <c r="A46" t="s">
        <v>137</v>
      </c>
      <c r="B46" t="s">
        <v>39</v>
      </c>
      <c r="C46" s="9">
        <v>45562.430999999997</v>
      </c>
      <c r="D46" t="s">
        <v>66</v>
      </c>
      <c r="E46">
        <f t="shared" si="0"/>
        <v>10280.000706119174</v>
      </c>
      <c r="F46">
        <f t="shared" si="1"/>
        <v>10280</v>
      </c>
      <c r="G46">
        <f t="shared" si="6"/>
        <v>8.9519999164622277E-4</v>
      </c>
      <c r="I46">
        <f t="shared" si="7"/>
        <v>8.9519999164622277E-4</v>
      </c>
      <c r="O46">
        <f t="shared" ca="1" si="4"/>
        <v>-4.2932847164957835E-2</v>
      </c>
      <c r="Q46" s="1">
        <f t="shared" si="5"/>
        <v>30543.930999999997</v>
      </c>
    </row>
    <row r="47" spans="1:17">
      <c r="A47" t="s">
        <v>137</v>
      </c>
      <c r="B47" t="s">
        <v>39</v>
      </c>
      <c r="C47" s="9">
        <v>45903.464999999997</v>
      </c>
      <c r="D47" t="s">
        <v>66</v>
      </c>
      <c r="E47">
        <f t="shared" si="0"/>
        <v>10549.0027699402</v>
      </c>
      <c r="F47">
        <f t="shared" si="1"/>
        <v>10549</v>
      </c>
      <c r="G47">
        <f t="shared" si="6"/>
        <v>3.5116599974571727E-3</v>
      </c>
      <c r="I47">
        <f t="shared" si="7"/>
        <v>3.5116599974571727E-3</v>
      </c>
      <c r="O47">
        <f t="shared" ca="1" si="4"/>
        <v>-4.6702622668680013E-2</v>
      </c>
      <c r="Q47" s="1">
        <f t="shared" si="5"/>
        <v>30884.964999999997</v>
      </c>
    </row>
    <row r="48" spans="1:17">
      <c r="A48" t="s">
        <v>147</v>
      </c>
      <c r="B48" t="s">
        <v>39</v>
      </c>
      <c r="C48" s="9">
        <v>46717.328000000001</v>
      </c>
      <c r="D48" t="s">
        <v>66</v>
      </c>
      <c r="E48">
        <f t="shared" si="0"/>
        <v>11190.964646666784</v>
      </c>
      <c r="F48">
        <f t="shared" si="1"/>
        <v>11191</v>
      </c>
      <c r="G48">
        <f t="shared" si="6"/>
        <v>-4.4820060000347439E-2</v>
      </c>
      <c r="I48">
        <f t="shared" si="7"/>
        <v>-4.4820060000347439E-2</v>
      </c>
      <c r="O48">
        <f t="shared" ca="1" si="4"/>
        <v>-5.5699633350425923E-2</v>
      </c>
      <c r="Q48" s="1">
        <f t="shared" si="5"/>
        <v>31698.828000000001</v>
      </c>
    </row>
    <row r="49" spans="1:31">
      <c r="A49" t="s">
        <v>147</v>
      </c>
      <c r="B49" t="s">
        <v>39</v>
      </c>
      <c r="C49" s="9">
        <v>46717.328000000001</v>
      </c>
      <c r="D49" t="s">
        <v>66</v>
      </c>
      <c r="E49">
        <f t="shared" si="0"/>
        <v>11190.964646666784</v>
      </c>
      <c r="F49">
        <f t="shared" si="1"/>
        <v>11191</v>
      </c>
      <c r="G49">
        <f t="shared" si="6"/>
        <v>-4.4820060000347439E-2</v>
      </c>
      <c r="I49">
        <f t="shared" si="7"/>
        <v>-4.4820060000347439E-2</v>
      </c>
      <c r="O49">
        <f t="shared" ca="1" si="4"/>
        <v>-5.5699633350425923E-2</v>
      </c>
      <c r="Q49" s="1">
        <f t="shared" si="5"/>
        <v>31698.828000000001</v>
      </c>
    </row>
    <row r="50" spans="1:31">
      <c r="A50" t="s">
        <v>153</v>
      </c>
      <c r="B50" t="s">
        <v>39</v>
      </c>
      <c r="C50" s="9">
        <v>46997.472000000002</v>
      </c>
      <c r="D50" t="s">
        <v>66</v>
      </c>
      <c r="E50">
        <f t="shared" si="0"/>
        <v>11411.937670374324</v>
      </c>
      <c r="F50">
        <f t="shared" si="1"/>
        <v>11412</v>
      </c>
      <c r="G50">
        <f t="shared" si="6"/>
        <v>-7.9019919998245314E-2</v>
      </c>
      <c r="I50">
        <f t="shared" si="7"/>
        <v>-7.9019919998245314E-2</v>
      </c>
      <c r="O50">
        <f t="shared" ca="1" si="4"/>
        <v>-5.879673515831664E-2</v>
      </c>
      <c r="Q50" s="1">
        <f t="shared" si="5"/>
        <v>31978.972000000002</v>
      </c>
    </row>
    <row r="51" spans="1:31">
      <c r="A51" t="s">
        <v>153</v>
      </c>
      <c r="B51" t="s">
        <v>39</v>
      </c>
      <c r="C51" s="9">
        <v>46997.482000000004</v>
      </c>
      <c r="D51" t="s">
        <v>66</v>
      </c>
      <c r="E51">
        <f t="shared" si="0"/>
        <v>11411.945558211428</v>
      </c>
      <c r="F51">
        <f t="shared" si="1"/>
        <v>11412</v>
      </c>
      <c r="G51">
        <f t="shared" si="6"/>
        <v>-6.9019919996208046E-2</v>
      </c>
      <c r="I51">
        <f t="shared" si="7"/>
        <v>-6.9019919996208046E-2</v>
      </c>
      <c r="O51">
        <f t="shared" ca="1" si="4"/>
        <v>-5.879673515831664E-2</v>
      </c>
      <c r="Q51" s="1">
        <f t="shared" si="5"/>
        <v>31978.982000000004</v>
      </c>
    </row>
    <row r="52" spans="1:31">
      <c r="A52" t="s">
        <v>153</v>
      </c>
      <c r="B52" t="s">
        <v>39</v>
      </c>
      <c r="C52" s="9">
        <v>46997.483</v>
      </c>
      <c r="D52" t="s">
        <v>66</v>
      </c>
      <c r="E52">
        <f t="shared" si="0"/>
        <v>11411.946346995135</v>
      </c>
      <c r="F52">
        <f t="shared" si="1"/>
        <v>11412</v>
      </c>
      <c r="G52">
        <f t="shared" si="6"/>
        <v>-6.8019919999642298E-2</v>
      </c>
      <c r="I52">
        <f t="shared" si="7"/>
        <v>-6.8019919999642298E-2</v>
      </c>
      <c r="O52">
        <f t="shared" ca="1" si="4"/>
        <v>-5.879673515831664E-2</v>
      </c>
      <c r="Q52" s="1">
        <f t="shared" si="5"/>
        <v>31978.983</v>
      </c>
    </row>
    <row r="53" spans="1:31">
      <c r="A53" t="s">
        <v>153</v>
      </c>
      <c r="B53" t="s">
        <v>39</v>
      </c>
      <c r="C53" s="9">
        <v>47030.447</v>
      </c>
      <c r="D53" t="s">
        <v>66</v>
      </c>
      <c r="E53">
        <f t="shared" ref="E53:E82" si="8">+(C53-C$7)/C$8</f>
        <v>11437.947813217846</v>
      </c>
      <c r="F53">
        <f t="shared" ref="F53:F84" si="9">ROUND(2*E53,0)/2</f>
        <v>11438</v>
      </c>
      <c r="G53">
        <f t="shared" si="6"/>
        <v>-6.6161080001620576E-2</v>
      </c>
      <c r="I53">
        <f t="shared" si="7"/>
        <v>-6.6161080001620576E-2</v>
      </c>
      <c r="O53">
        <f t="shared" ref="O53:O82" ca="1" si="10">+C$11+C$12*F53</f>
        <v>-5.9161100076892029E-2</v>
      </c>
      <c r="Q53" s="1">
        <f t="shared" ref="Q53:Q82" si="11">+C53-15018.5</f>
        <v>32011.947</v>
      </c>
    </row>
    <row r="54" spans="1:31">
      <c r="A54" t="s">
        <v>153</v>
      </c>
      <c r="B54" t="s">
        <v>39</v>
      </c>
      <c r="C54" s="9">
        <v>47030.451999999997</v>
      </c>
      <c r="D54" t="s">
        <v>66</v>
      </c>
      <c r="E54">
        <f t="shared" si="8"/>
        <v>11437.951757136396</v>
      </c>
      <c r="F54">
        <f t="shared" si="9"/>
        <v>11438</v>
      </c>
      <c r="G54">
        <f t="shared" si="6"/>
        <v>-6.1161080004239921E-2</v>
      </c>
      <c r="I54">
        <f t="shared" si="7"/>
        <v>-6.1161080004239921E-2</v>
      </c>
      <c r="O54">
        <f t="shared" ca="1" si="10"/>
        <v>-5.9161100076892029E-2</v>
      </c>
      <c r="Q54" s="1">
        <f t="shared" si="11"/>
        <v>32011.951999999997</v>
      </c>
    </row>
    <row r="55" spans="1:31">
      <c r="A55" t="s">
        <v>153</v>
      </c>
      <c r="B55" t="s">
        <v>39</v>
      </c>
      <c r="C55" s="9">
        <v>47030.457000000002</v>
      </c>
      <c r="D55" t="s">
        <v>66</v>
      </c>
      <c r="E55">
        <f t="shared" si="8"/>
        <v>11437.955701054951</v>
      </c>
      <c r="F55">
        <f t="shared" si="9"/>
        <v>11438</v>
      </c>
      <c r="G55">
        <f t="shared" si="6"/>
        <v>-5.6161079999583308E-2</v>
      </c>
      <c r="I55">
        <f t="shared" si="7"/>
        <v>-5.6161079999583308E-2</v>
      </c>
      <c r="O55">
        <f t="shared" ca="1" si="10"/>
        <v>-5.9161100076892029E-2</v>
      </c>
      <c r="Q55" s="1">
        <f t="shared" si="11"/>
        <v>32011.957000000002</v>
      </c>
    </row>
    <row r="56" spans="1:31">
      <c r="A56" t="s">
        <v>153</v>
      </c>
      <c r="B56" t="s">
        <v>39</v>
      </c>
      <c r="C56" s="9">
        <v>47030.459000000003</v>
      </c>
      <c r="D56" t="s">
        <v>66</v>
      </c>
      <c r="E56">
        <f t="shared" si="8"/>
        <v>11437.957278622371</v>
      </c>
      <c r="F56">
        <f t="shared" si="9"/>
        <v>11438</v>
      </c>
      <c r="G56">
        <f t="shared" si="6"/>
        <v>-5.4161079999175854E-2</v>
      </c>
      <c r="I56">
        <f t="shared" si="7"/>
        <v>-5.4161079999175854E-2</v>
      </c>
      <c r="O56">
        <f t="shared" ca="1" si="10"/>
        <v>-5.9161100076892029E-2</v>
      </c>
      <c r="Q56" s="1">
        <f t="shared" si="11"/>
        <v>32011.959000000003</v>
      </c>
    </row>
    <row r="57" spans="1:31">
      <c r="A57" t="s">
        <v>178</v>
      </c>
      <c r="B57" t="s">
        <v>39</v>
      </c>
      <c r="C57" s="9">
        <v>47669.413999999997</v>
      </c>
      <c r="D57" t="s">
        <v>66</v>
      </c>
      <c r="E57">
        <f t="shared" si="8"/>
        <v>11941.954574166986</v>
      </c>
      <c r="F57">
        <f t="shared" si="9"/>
        <v>11942</v>
      </c>
      <c r="G57">
        <f t="shared" si="6"/>
        <v>-5.7589720003306866E-2</v>
      </c>
      <c r="I57">
        <f t="shared" si="7"/>
        <v>-5.7589720003306866E-2</v>
      </c>
      <c r="O57">
        <f t="shared" ca="1" si="10"/>
        <v>-6.6224173883122447E-2</v>
      </c>
      <c r="Q57" s="1">
        <f t="shared" si="11"/>
        <v>32650.913999999997</v>
      </c>
    </row>
    <row r="58" spans="1:31">
      <c r="A58" t="s">
        <v>30</v>
      </c>
      <c r="C58" s="10">
        <v>47954.654000000002</v>
      </c>
      <c r="D58" s="9"/>
      <c r="E58">
        <f t="shared" si="8"/>
        <v>12166.947239661662</v>
      </c>
      <c r="F58">
        <f t="shared" si="9"/>
        <v>12167</v>
      </c>
      <c r="G58">
        <f t="shared" si="6"/>
        <v>-6.6888219997053966E-2</v>
      </c>
      <c r="I58">
        <f t="shared" si="7"/>
        <v>-6.6888219997053966E-2</v>
      </c>
      <c r="O58">
        <f t="shared" ca="1" si="10"/>
        <v>-6.9377331832332453E-2</v>
      </c>
      <c r="Q58" s="1">
        <f t="shared" si="11"/>
        <v>32936.154000000002</v>
      </c>
      <c r="AA58">
        <v>6</v>
      </c>
      <c r="AC58" t="s">
        <v>29</v>
      </c>
      <c r="AE58" t="s">
        <v>31</v>
      </c>
    </row>
    <row r="59" spans="1:31">
      <c r="A59" t="s">
        <v>188</v>
      </c>
      <c r="B59" t="s">
        <v>39</v>
      </c>
      <c r="C59" s="9">
        <v>48119.468999999997</v>
      </c>
      <c r="D59" t="s">
        <v>66</v>
      </c>
      <c r="E59">
        <f t="shared" si="8"/>
        <v>12296.950626856666</v>
      </c>
      <c r="F59">
        <f t="shared" si="9"/>
        <v>12297</v>
      </c>
      <c r="G59">
        <f t="shared" si="6"/>
        <v>-6.2594020004326012E-2</v>
      </c>
      <c r="I59">
        <f t="shared" si="7"/>
        <v>-6.2594020004326012E-2</v>
      </c>
      <c r="O59">
        <f t="shared" ca="1" si="10"/>
        <v>-7.119915642520934E-2</v>
      </c>
      <c r="Q59" s="1">
        <f t="shared" si="11"/>
        <v>33100.968999999997</v>
      </c>
    </row>
    <row r="60" spans="1:31">
      <c r="A60" t="s">
        <v>32</v>
      </c>
      <c r="C60" s="10">
        <v>48147.357000000004</v>
      </c>
      <c r="D60" s="9"/>
      <c r="E60">
        <f t="shared" si="8"/>
        <v>12318.948226966457</v>
      </c>
      <c r="F60">
        <f t="shared" si="9"/>
        <v>12319</v>
      </c>
      <c r="G60">
        <f t="shared" ref="G60:G82" si="12">+C60-(C$7+F60*C$8)</f>
        <v>-6.5636539999104571E-2</v>
      </c>
      <c r="I60">
        <f t="shared" si="7"/>
        <v>-6.5636539999104571E-2</v>
      </c>
      <c r="O60">
        <f t="shared" ca="1" si="10"/>
        <v>-7.1507465202465439E-2</v>
      </c>
      <c r="Q60" s="1">
        <f t="shared" si="11"/>
        <v>33128.857000000004</v>
      </c>
      <c r="AA60">
        <v>6</v>
      </c>
      <c r="AC60" t="s">
        <v>29</v>
      </c>
      <c r="AE60" t="s">
        <v>31</v>
      </c>
    </row>
    <row r="61" spans="1:31">
      <c r="A61" t="s">
        <v>194</v>
      </c>
      <c r="B61" t="s">
        <v>39</v>
      </c>
      <c r="C61" s="9">
        <v>48498.527999999998</v>
      </c>
      <c r="D61" t="s">
        <v>66</v>
      </c>
      <c r="E61">
        <f t="shared" si="8"/>
        <v>12595.946191257679</v>
      </c>
      <c r="F61">
        <f t="shared" si="9"/>
        <v>12596</v>
      </c>
      <c r="G61">
        <f t="shared" si="12"/>
        <v>-6.8217359999835026E-2</v>
      </c>
      <c r="I61">
        <f t="shared" si="7"/>
        <v>-6.8217359999835026E-2</v>
      </c>
      <c r="O61">
        <f t="shared" ca="1" si="10"/>
        <v>-7.5389352988826194E-2</v>
      </c>
      <c r="Q61" s="1">
        <f t="shared" si="11"/>
        <v>33480.027999999998</v>
      </c>
    </row>
    <row r="62" spans="1:31">
      <c r="A62" t="s">
        <v>33</v>
      </c>
      <c r="C62" s="10">
        <v>48587.267999999996</v>
      </c>
      <c r="D62" s="9">
        <v>1.2E-2</v>
      </c>
      <c r="E62">
        <f t="shared" si="8"/>
        <v>12665.94285769996</v>
      </c>
      <c r="F62">
        <f t="shared" si="9"/>
        <v>12666</v>
      </c>
      <c r="G62">
        <f t="shared" si="12"/>
        <v>-7.2443560005922336E-2</v>
      </c>
      <c r="I62">
        <f t="shared" si="7"/>
        <v>-7.2443560005922336E-2</v>
      </c>
      <c r="O62">
        <f t="shared" ca="1" si="10"/>
        <v>-7.6370335461913755E-2</v>
      </c>
      <c r="Q62" s="1">
        <f t="shared" si="11"/>
        <v>33568.767999999996</v>
      </c>
      <c r="AA62">
        <v>6</v>
      </c>
      <c r="AC62" t="s">
        <v>29</v>
      </c>
      <c r="AE62" t="s">
        <v>31</v>
      </c>
    </row>
    <row r="63" spans="1:31" ht="12.75" customHeight="1">
      <c r="A63" t="s">
        <v>34</v>
      </c>
      <c r="C63" s="10">
        <v>48683.614999999998</v>
      </c>
      <c r="D63" s="9">
        <v>1.2E-2</v>
      </c>
      <c r="E63">
        <f t="shared" si="8"/>
        <v>12741.939801825663</v>
      </c>
      <c r="F63">
        <f t="shared" si="9"/>
        <v>12742</v>
      </c>
      <c r="G63">
        <f t="shared" si="12"/>
        <v>-7.631772000604542E-2</v>
      </c>
      <c r="I63">
        <f t="shared" si="7"/>
        <v>-7.631772000604542E-2</v>
      </c>
      <c r="O63">
        <f t="shared" ca="1" si="10"/>
        <v>-7.7435402146980262E-2</v>
      </c>
      <c r="Q63" s="1">
        <f t="shared" si="11"/>
        <v>33665.114999999998</v>
      </c>
      <c r="AA63">
        <v>5</v>
      </c>
      <c r="AC63" t="s">
        <v>29</v>
      </c>
      <c r="AE63" t="s">
        <v>31</v>
      </c>
    </row>
    <row r="64" spans="1:31" ht="12.75" customHeight="1">
      <c r="A64" t="s">
        <v>35</v>
      </c>
      <c r="C64" s="10">
        <v>48801.51</v>
      </c>
      <c r="D64" s="9">
        <v>1.0999999999999999E-2</v>
      </c>
      <c r="E64">
        <f t="shared" si="8"/>
        <v>12834.933457338548</v>
      </c>
      <c r="F64">
        <f t="shared" si="9"/>
        <v>12835</v>
      </c>
      <c r="G64">
        <f t="shared" si="12"/>
        <v>-8.4361099994566757E-2</v>
      </c>
      <c r="I64">
        <f t="shared" si="7"/>
        <v>-8.4361099994566757E-2</v>
      </c>
      <c r="O64">
        <f t="shared" ca="1" si="10"/>
        <v>-7.8738707432653723E-2</v>
      </c>
      <c r="Q64" s="1">
        <f t="shared" si="11"/>
        <v>33783.01</v>
      </c>
      <c r="AA64">
        <v>9</v>
      </c>
      <c r="AC64" t="s">
        <v>29</v>
      </c>
      <c r="AE64" t="s">
        <v>31</v>
      </c>
    </row>
    <row r="65" spans="1:31" ht="12.75" customHeight="1">
      <c r="A65" t="s">
        <v>213</v>
      </c>
      <c r="B65" t="s">
        <v>39</v>
      </c>
      <c r="C65" s="9">
        <v>49118.454899999997</v>
      </c>
      <c r="D65" t="s">
        <v>66</v>
      </c>
      <c r="E65">
        <f t="shared" si="8"/>
        <v>13084.934431486425</v>
      </c>
      <c r="F65">
        <f t="shared" si="9"/>
        <v>13085</v>
      </c>
      <c r="G65">
        <f t="shared" si="12"/>
        <v>-8.312609999848064E-2</v>
      </c>
      <c r="I65">
        <f>+G65</f>
        <v>-8.312609999848064E-2</v>
      </c>
      <c r="O65">
        <f t="shared" ca="1" si="10"/>
        <v>-8.2242216265109289E-2</v>
      </c>
      <c r="Q65" s="1">
        <f t="shared" si="11"/>
        <v>34099.954899999997</v>
      </c>
    </row>
    <row r="66" spans="1:31" ht="12.75" customHeight="1">
      <c r="A66" t="s">
        <v>213</v>
      </c>
      <c r="B66" t="s">
        <v>39</v>
      </c>
      <c r="C66" s="9">
        <v>49321.29</v>
      </c>
      <c r="D66" t="s">
        <v>66</v>
      </c>
      <c r="E66">
        <f t="shared" si="8"/>
        <v>13244.927454221242</v>
      </c>
      <c r="F66">
        <f t="shared" si="9"/>
        <v>13245</v>
      </c>
      <c r="G66">
        <f t="shared" si="12"/>
        <v>-9.197169999970356E-2</v>
      </c>
      <c r="I66">
        <f>+G66</f>
        <v>-9.197169999970356E-2</v>
      </c>
      <c r="O66">
        <f t="shared" ca="1" si="10"/>
        <v>-8.4484461917880851E-2</v>
      </c>
      <c r="Q66" s="1">
        <f t="shared" si="11"/>
        <v>34302.79</v>
      </c>
    </row>
    <row r="67" spans="1:31" ht="12.75" customHeight="1">
      <c r="A67" t="s">
        <v>36</v>
      </c>
      <c r="C67" s="10">
        <v>49511.461000000003</v>
      </c>
      <c r="D67" s="9">
        <v>8.0000000000000002E-3</v>
      </c>
      <c r="E67">
        <f t="shared" si="8"/>
        <v>13394.931241171837</v>
      </c>
      <c r="F67">
        <f t="shared" si="9"/>
        <v>13395</v>
      </c>
      <c r="G67">
        <f t="shared" si="12"/>
        <v>-8.7170699996931944E-2</v>
      </c>
      <c r="J67">
        <f>+G67</f>
        <v>-8.7170699996931944E-2</v>
      </c>
      <c r="O67">
        <f t="shared" ca="1" si="10"/>
        <v>-8.6586567217354207E-2</v>
      </c>
      <c r="Q67" s="1">
        <f t="shared" si="11"/>
        <v>34492.961000000003</v>
      </c>
      <c r="AA67">
        <v>6</v>
      </c>
      <c r="AC67" t="s">
        <v>29</v>
      </c>
      <c r="AE67" t="s">
        <v>31</v>
      </c>
    </row>
    <row r="68" spans="1:31" ht="12.75" customHeight="1">
      <c r="A68" t="s">
        <v>37</v>
      </c>
      <c r="C68" s="10">
        <v>50539.618000000002</v>
      </c>
      <c r="D68" s="9">
        <v>8.9999999999999993E-3</v>
      </c>
      <c r="E68">
        <f t="shared" si="8"/>
        <v>14205.924734289927</v>
      </c>
      <c r="F68">
        <f t="shared" si="9"/>
        <v>14206</v>
      </c>
      <c r="G68">
        <f t="shared" si="12"/>
        <v>-9.5419959994615056E-2</v>
      </c>
      <c r="J68">
        <f>+G68</f>
        <v>-9.5419959994615056E-2</v>
      </c>
      <c r="O68">
        <f t="shared" ca="1" si="10"/>
        <v>-9.7951949869840058E-2</v>
      </c>
      <c r="Q68" s="1">
        <f t="shared" si="11"/>
        <v>35521.118000000002</v>
      </c>
      <c r="AA68">
        <v>6</v>
      </c>
      <c r="AC68" t="s">
        <v>29</v>
      </c>
      <c r="AE68" t="s">
        <v>31</v>
      </c>
    </row>
    <row r="69" spans="1:31" ht="12.75" customHeight="1">
      <c r="A69" t="s">
        <v>229</v>
      </c>
      <c r="B69" t="s">
        <v>39</v>
      </c>
      <c r="C69" s="9">
        <v>50671.474099999999</v>
      </c>
      <c r="D69" t="s">
        <v>66</v>
      </c>
      <c r="E69">
        <f t="shared" si="8"/>
        <v>14309.930678059143</v>
      </c>
      <c r="F69">
        <f t="shared" si="9"/>
        <v>14310</v>
      </c>
      <c r="G69">
        <f t="shared" si="12"/>
        <v>-8.7884600005054381E-2</v>
      </c>
      <c r="I69">
        <f>+G69</f>
        <v>-8.7884600005054381E-2</v>
      </c>
      <c r="O69">
        <f t="shared" ca="1" si="10"/>
        <v>-9.9409409544141583E-2</v>
      </c>
      <c r="Q69" s="1">
        <f t="shared" si="11"/>
        <v>35652.974099999999</v>
      </c>
    </row>
    <row r="70" spans="1:31" ht="12.75" customHeight="1">
      <c r="A70" t="s">
        <v>229</v>
      </c>
      <c r="B70" t="s">
        <v>39</v>
      </c>
      <c r="C70" s="9">
        <v>51012.495999999999</v>
      </c>
      <c r="D70" t="s">
        <v>66</v>
      </c>
      <c r="E70">
        <f t="shared" si="8"/>
        <v>14578.923197597276</v>
      </c>
      <c r="F70">
        <f t="shared" si="9"/>
        <v>14579</v>
      </c>
      <c r="G70">
        <f t="shared" si="12"/>
        <v>-9.7368140006437898E-2</v>
      </c>
      <c r="I70">
        <f>+G70</f>
        <v>-9.7368140006437898E-2</v>
      </c>
      <c r="O70">
        <f t="shared" ca="1" si="10"/>
        <v>-0.10317918504786379</v>
      </c>
      <c r="Q70" s="1">
        <f t="shared" si="11"/>
        <v>35993.995999999999</v>
      </c>
    </row>
    <row r="71" spans="1:31" ht="12.75" customHeight="1">
      <c r="A71" s="26" t="s">
        <v>38</v>
      </c>
      <c r="B71" s="26" t="s">
        <v>39</v>
      </c>
      <c r="C71" s="27">
        <v>52437.443099999997</v>
      </c>
      <c r="D71" s="27">
        <v>2E-3</v>
      </c>
      <c r="E71">
        <f t="shared" si="8"/>
        <v>15702.898257960131</v>
      </c>
      <c r="F71">
        <f t="shared" si="9"/>
        <v>15703</v>
      </c>
      <c r="G71">
        <f t="shared" si="12"/>
        <v>-0.12898598000901984</v>
      </c>
      <c r="K71">
        <f>+G71</f>
        <v>-0.12898598000901984</v>
      </c>
      <c r="O71">
        <f t="shared" ca="1" si="10"/>
        <v>-0.11893096075858402</v>
      </c>
      <c r="Q71" s="1">
        <f t="shared" si="11"/>
        <v>37418.943099999997</v>
      </c>
    </row>
    <row r="72" spans="1:31" ht="12.75" customHeight="1">
      <c r="A72" t="s">
        <v>244</v>
      </c>
      <c r="B72" t="s">
        <v>39</v>
      </c>
      <c r="C72" s="9">
        <v>52613.6636</v>
      </c>
      <c r="D72" t="s">
        <v>66</v>
      </c>
      <c r="E72">
        <f t="shared" si="8"/>
        <v>15841.898117761715</v>
      </c>
      <c r="F72">
        <f t="shared" si="9"/>
        <v>15842</v>
      </c>
      <c r="G72">
        <f t="shared" si="12"/>
        <v>-0.1291637200047262</v>
      </c>
      <c r="I72">
        <f>+G72</f>
        <v>-0.1291637200047262</v>
      </c>
      <c r="O72">
        <f t="shared" ca="1" si="10"/>
        <v>-0.12087891166942931</v>
      </c>
      <c r="Q72" s="1">
        <f t="shared" si="11"/>
        <v>37595.1636</v>
      </c>
    </row>
    <row r="73" spans="1:31" ht="12.75" customHeight="1">
      <c r="A73" t="s">
        <v>244</v>
      </c>
      <c r="B73" t="s">
        <v>39</v>
      </c>
      <c r="C73" s="9">
        <v>52616.190799999997</v>
      </c>
      <c r="D73" t="s">
        <v>66</v>
      </c>
      <c r="E73">
        <f t="shared" si="8"/>
        <v>15843.891531954107</v>
      </c>
      <c r="F73">
        <f t="shared" si="9"/>
        <v>15844</v>
      </c>
      <c r="G73">
        <f t="shared" si="12"/>
        <v>-0.13751304000470554</v>
      </c>
      <c r="I73">
        <f>+G73</f>
        <v>-0.13751304000470554</v>
      </c>
      <c r="O73">
        <f t="shared" ca="1" si="10"/>
        <v>-0.12090693974008897</v>
      </c>
      <c r="Q73" s="1">
        <f t="shared" si="11"/>
        <v>37597.690799999997</v>
      </c>
    </row>
    <row r="74" spans="1:31" ht="12.75" customHeight="1">
      <c r="A74" s="28" t="s">
        <v>40</v>
      </c>
      <c r="B74" s="26"/>
      <c r="C74" s="29">
        <v>52816.5049</v>
      </c>
      <c r="D74" s="29">
        <v>2.0999999999999999E-3</v>
      </c>
      <c r="E74">
        <f t="shared" si="8"/>
        <v>16001.896030955533</v>
      </c>
      <c r="F74">
        <f t="shared" si="9"/>
        <v>16002</v>
      </c>
      <c r="G74">
        <f t="shared" si="12"/>
        <v>-0.13180931999522727</v>
      </c>
      <c r="J74">
        <f>+G74</f>
        <v>-0.13180931999522727</v>
      </c>
      <c r="O74">
        <f t="shared" ca="1" si="10"/>
        <v>-0.12312115732220087</v>
      </c>
      <c r="Q74" s="1">
        <f t="shared" si="11"/>
        <v>37798.0049</v>
      </c>
    </row>
    <row r="75" spans="1:31" ht="12.75" customHeight="1">
      <c r="A75" t="s">
        <v>291</v>
      </c>
      <c r="B75" t="s">
        <v>39</v>
      </c>
      <c r="C75" s="9">
        <v>53256.417999999998</v>
      </c>
      <c r="D75" t="s">
        <v>66</v>
      </c>
      <c r="E75">
        <f t="shared" si="8"/>
        <v>16348.892318134831</v>
      </c>
      <c r="F75">
        <f t="shared" si="9"/>
        <v>16349</v>
      </c>
      <c r="G75">
        <f t="shared" si="12"/>
        <v>-0.13651634000416379</v>
      </c>
      <c r="I75">
        <f>+G75</f>
        <v>-0.13651634000416379</v>
      </c>
      <c r="O75">
        <f t="shared" ca="1" si="10"/>
        <v>-0.12798402758164923</v>
      </c>
      <c r="Q75" s="1">
        <f t="shared" si="11"/>
        <v>38237.917999999998</v>
      </c>
    </row>
    <row r="76" spans="1:31">
      <c r="A76" s="30" t="s">
        <v>54</v>
      </c>
      <c r="B76" s="31" t="s">
        <v>39</v>
      </c>
      <c r="C76" s="30">
        <v>53284.336000000003</v>
      </c>
      <c r="D76" s="30">
        <v>6.0000000000000001E-3</v>
      </c>
      <c r="E76">
        <f t="shared" si="8"/>
        <v>16370.913581755927</v>
      </c>
      <c r="F76">
        <f t="shared" si="9"/>
        <v>16371</v>
      </c>
      <c r="G76">
        <f t="shared" si="12"/>
        <v>-0.10955885999283055</v>
      </c>
      <c r="I76">
        <f>+G76</f>
        <v>-0.10955885999283055</v>
      </c>
      <c r="O76">
        <f t="shared" ca="1" si="10"/>
        <v>-0.1282923363589053</v>
      </c>
      <c r="Q76" s="1">
        <f t="shared" si="11"/>
        <v>38265.836000000003</v>
      </c>
    </row>
    <row r="77" spans="1:31">
      <c r="A77" s="11" t="s">
        <v>44</v>
      </c>
      <c r="B77" s="12" t="s">
        <v>39</v>
      </c>
      <c r="C77" s="13">
        <v>53592.373699999996</v>
      </c>
      <c r="D77" s="13">
        <v>1.1000000000000001E-3</v>
      </c>
      <c r="E77">
        <f t="shared" si="8"/>
        <v>16613.888701640397</v>
      </c>
      <c r="F77">
        <f t="shared" si="9"/>
        <v>16614</v>
      </c>
      <c r="G77">
        <f t="shared" si="12"/>
        <v>-0.14110124000580981</v>
      </c>
      <c r="J77">
        <f>+G77</f>
        <v>-0.14110124000580981</v>
      </c>
      <c r="O77">
        <f t="shared" ca="1" si="10"/>
        <v>-0.13169774694405212</v>
      </c>
      <c r="Q77" s="1">
        <f t="shared" si="11"/>
        <v>38573.873699999996</v>
      </c>
    </row>
    <row r="78" spans="1:31">
      <c r="A78" s="30" t="s">
        <v>54</v>
      </c>
      <c r="B78" s="31" t="s">
        <v>39</v>
      </c>
      <c r="C78" s="30">
        <v>53592.379000000001</v>
      </c>
      <c r="D78" s="30">
        <v>6.0000000000000001E-3</v>
      </c>
      <c r="E78">
        <f t="shared" si="8"/>
        <v>16613.892882194064</v>
      </c>
      <c r="F78">
        <f t="shared" si="9"/>
        <v>16614</v>
      </c>
      <c r="G78">
        <f t="shared" si="12"/>
        <v>-0.13580124000145588</v>
      </c>
      <c r="I78">
        <f>+G78</f>
        <v>-0.13580124000145588</v>
      </c>
      <c r="O78">
        <f t="shared" ca="1" si="10"/>
        <v>-0.13169774694405212</v>
      </c>
      <c r="Q78" s="1">
        <f t="shared" si="11"/>
        <v>38573.879000000001</v>
      </c>
    </row>
    <row r="79" spans="1:31">
      <c r="A79" s="11" t="s">
        <v>43</v>
      </c>
      <c r="B79" s="26"/>
      <c r="C79" s="13">
        <v>53658.297400000003</v>
      </c>
      <c r="D79" s="13">
        <v>2.3999999999999998E-3</v>
      </c>
      <c r="E79">
        <f t="shared" si="8"/>
        <v>16665.888242315872</v>
      </c>
      <c r="F79">
        <f t="shared" si="9"/>
        <v>16666</v>
      </c>
      <c r="G79">
        <f t="shared" si="12"/>
        <v>-0.14168355999572668</v>
      </c>
      <c r="J79">
        <f>+G79</f>
        <v>-0.14168355999572668</v>
      </c>
      <c r="O79">
        <f t="shared" ca="1" si="10"/>
        <v>-0.13242647678120284</v>
      </c>
      <c r="Q79" s="1">
        <f t="shared" si="11"/>
        <v>38639.797400000003</v>
      </c>
    </row>
    <row r="80" spans="1:31" ht="12.75" customHeight="1">
      <c r="A80" s="11" t="s">
        <v>44</v>
      </c>
      <c r="B80" s="12" t="s">
        <v>39</v>
      </c>
      <c r="C80" s="13">
        <v>53900.440499999997</v>
      </c>
      <c r="D80" s="13">
        <v>4.0000000000000002E-4</v>
      </c>
      <c r="E80">
        <f t="shared" si="8"/>
        <v>16856.886775130839</v>
      </c>
      <c r="F80">
        <f t="shared" si="9"/>
        <v>16857</v>
      </c>
      <c r="G80">
        <f t="shared" si="12"/>
        <v>-0.14354362000449328</v>
      </c>
      <c r="J80">
        <f>+G80</f>
        <v>-0.14354362000449328</v>
      </c>
      <c r="O80">
        <f t="shared" ca="1" si="10"/>
        <v>-0.13510315752919894</v>
      </c>
      <c r="Q80" s="1">
        <f t="shared" si="11"/>
        <v>38881.940499999997</v>
      </c>
    </row>
    <row r="81" spans="1:17">
      <c r="A81" s="33" t="s">
        <v>55</v>
      </c>
      <c r="B81" s="33"/>
      <c r="C81" s="34">
        <v>55387.534599999999</v>
      </c>
      <c r="D81" s="34">
        <v>1.9E-3</v>
      </c>
      <c r="E81">
        <f t="shared" si="8"/>
        <v>18029.882376730893</v>
      </c>
      <c r="F81">
        <f t="shared" si="9"/>
        <v>18030</v>
      </c>
      <c r="G81">
        <f t="shared" si="12"/>
        <v>-0.14911980000033509</v>
      </c>
      <c r="J81">
        <f>+G81</f>
        <v>-0.14911980000033509</v>
      </c>
      <c r="O81">
        <f t="shared" ca="1" si="10"/>
        <v>-0.15154162097108048</v>
      </c>
      <c r="Q81" s="1">
        <f t="shared" si="11"/>
        <v>40369.034599999999</v>
      </c>
    </row>
    <row r="82" spans="1:17">
      <c r="A82" s="30" t="s">
        <v>53</v>
      </c>
      <c r="B82" s="31" t="s">
        <v>39</v>
      </c>
      <c r="C82" s="30">
        <v>55643.6227</v>
      </c>
      <c r="D82" s="30">
        <v>6.9999999999999999E-4</v>
      </c>
      <c r="E82">
        <f t="shared" si="8"/>
        <v>18231.880498384468</v>
      </c>
      <c r="F82">
        <f t="shared" si="9"/>
        <v>18232</v>
      </c>
      <c r="G82">
        <f t="shared" si="12"/>
        <v>-0.15150112000264926</v>
      </c>
      <c r="J82">
        <f>+G82</f>
        <v>-0.15150112000264926</v>
      </c>
      <c r="O82">
        <f t="shared" ca="1" si="10"/>
        <v>-0.15437245610770456</v>
      </c>
      <c r="Q82" s="1">
        <f t="shared" si="11"/>
        <v>40625.1227</v>
      </c>
    </row>
    <row r="83" spans="1:17">
      <c r="A83" s="54" t="s">
        <v>0</v>
      </c>
      <c r="B83" s="55" t="s">
        <v>39</v>
      </c>
      <c r="C83" s="56">
        <v>57579.502699999997</v>
      </c>
      <c r="D83" s="56">
        <v>1E-4</v>
      </c>
      <c r="E83">
        <f>+(C83-C$7)/C$8</f>
        <v>19758.871107267594</v>
      </c>
      <c r="F83">
        <f t="shared" si="9"/>
        <v>19759</v>
      </c>
      <c r="G83">
        <f>+C83-(C$7+F83*C$8)</f>
        <v>-0.16340694000246003</v>
      </c>
      <c r="K83">
        <f>+G83</f>
        <v>-0.16340694000246003</v>
      </c>
      <c r="O83">
        <f ca="1">+C$11+C$12*F83</f>
        <v>-0.1757718880563432</v>
      </c>
      <c r="Q83" s="1">
        <f>+C83-15018.5</f>
        <v>42561.002699999997</v>
      </c>
    </row>
    <row r="84" spans="1:17">
      <c r="A84" s="54" t="s">
        <v>0</v>
      </c>
      <c r="B84" s="55" t="s">
        <v>39</v>
      </c>
      <c r="C84" s="56">
        <v>57574.431799999998</v>
      </c>
      <c r="D84" s="56">
        <v>4.0000000000000002E-4</v>
      </c>
      <c r="E84">
        <f>+(C84-C$7)/C$8</f>
        <v>19754.871263951591</v>
      </c>
      <c r="F84">
        <f t="shared" si="9"/>
        <v>19755</v>
      </c>
      <c r="G84">
        <f>+C84-(C$7+F84*C$8)</f>
        <v>-0.16320830000040587</v>
      </c>
      <c r="K84">
        <f>+G84</f>
        <v>-0.16320830000040587</v>
      </c>
      <c r="O84">
        <f ca="1">+C$11+C$12*F84</f>
        <v>-0.17571583191502388</v>
      </c>
      <c r="Q84" s="1">
        <f>+C84-15018.5</f>
        <v>42555.931799999998</v>
      </c>
    </row>
  </sheetData>
  <phoneticPr fontId="7" type="noConversion"/>
  <hyperlinks>
    <hyperlink ref="H1022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topLeftCell="A24" workbookViewId="0">
      <selection activeCell="A27" sqref="A27:D71"/>
    </sheetView>
  </sheetViews>
  <sheetFormatPr defaultRowHeight="12.75"/>
  <cols>
    <col min="1" max="1" width="19.7109375" style="9" customWidth="1"/>
    <col min="2" max="2" width="4.42578125" style="8" customWidth="1"/>
    <col min="3" max="3" width="12.7109375" style="9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9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35" t="s">
        <v>56</v>
      </c>
      <c r="I1" s="36" t="s">
        <v>57</v>
      </c>
      <c r="J1" s="37" t="s">
        <v>58</v>
      </c>
    </row>
    <row r="2" spans="1:16">
      <c r="I2" s="38" t="s">
        <v>59</v>
      </c>
      <c r="J2" s="39" t="s">
        <v>60</v>
      </c>
    </row>
    <row r="3" spans="1:16">
      <c r="A3" s="40" t="s">
        <v>61</v>
      </c>
      <c r="I3" s="38" t="s">
        <v>62</v>
      </c>
      <c r="J3" s="39" t="s">
        <v>63</v>
      </c>
    </row>
    <row r="4" spans="1:16">
      <c r="I4" s="38" t="s">
        <v>64</v>
      </c>
      <c r="J4" s="39" t="s">
        <v>63</v>
      </c>
    </row>
    <row r="5" spans="1:16" ht="13.5" thickBot="1">
      <c r="I5" s="41" t="s">
        <v>65</v>
      </c>
      <c r="J5" s="42" t="s">
        <v>66</v>
      </c>
    </row>
    <row r="10" spans="1:16" ht="13.5" thickBot="1"/>
    <row r="11" spans="1:16" ht="12.75" customHeight="1" thickBot="1">
      <c r="A11" s="9" t="str">
        <f t="shared" ref="A11:A42" si="0">P11</f>
        <v> BBS 94 </v>
      </c>
      <c r="B11" s="16" t="str">
        <f t="shared" ref="B11:B42" si="1">IF(H11=INT(H11),"I","II")</f>
        <v>I</v>
      </c>
      <c r="C11" s="9">
        <f t="shared" ref="C11:C42" si="2">1*G11</f>
        <v>47954.654000000002</v>
      </c>
      <c r="D11" s="8" t="str">
        <f t="shared" ref="D11:D42" si="3">VLOOKUP(F11,I$1:J$5,2,FALSE)</f>
        <v>vis</v>
      </c>
      <c r="E11" s="43">
        <f>VLOOKUP(C11,Active!C$21:E$973,3,FALSE)</f>
        <v>12166.947239661662</v>
      </c>
      <c r="F11" s="16" t="s">
        <v>65</v>
      </c>
      <c r="G11" s="8" t="str">
        <f t="shared" ref="G11:G42" si="4">MID(I11,3,LEN(I11)-3)</f>
        <v>47954.654</v>
      </c>
      <c r="H11" s="9">
        <f t="shared" ref="H11:H42" si="5">1*K11</f>
        <v>12167</v>
      </c>
      <c r="I11" s="44" t="s">
        <v>179</v>
      </c>
      <c r="J11" s="45" t="s">
        <v>180</v>
      </c>
      <c r="K11" s="44">
        <v>12167</v>
      </c>
      <c r="L11" s="44" t="s">
        <v>181</v>
      </c>
      <c r="M11" s="45" t="s">
        <v>145</v>
      </c>
      <c r="N11" s="45"/>
      <c r="O11" s="46" t="s">
        <v>182</v>
      </c>
      <c r="P11" s="46" t="s">
        <v>183</v>
      </c>
    </row>
    <row r="12" spans="1:16" ht="12.75" customHeight="1" thickBot="1">
      <c r="A12" s="9" t="str">
        <f t="shared" si="0"/>
        <v> BBS 96 </v>
      </c>
      <c r="B12" s="16" t="str">
        <f t="shared" si="1"/>
        <v>I</v>
      </c>
      <c r="C12" s="9">
        <f t="shared" si="2"/>
        <v>48147.357000000004</v>
      </c>
      <c r="D12" s="8" t="str">
        <f t="shared" si="3"/>
        <v>vis</v>
      </c>
      <c r="E12" s="43">
        <f>VLOOKUP(C12,Active!C$21:E$973,3,FALSE)</f>
        <v>12318.948226966457</v>
      </c>
      <c r="F12" s="16" t="s">
        <v>65</v>
      </c>
      <c r="G12" s="8" t="str">
        <f t="shared" si="4"/>
        <v>48147.357</v>
      </c>
      <c r="H12" s="9">
        <f t="shared" si="5"/>
        <v>12319</v>
      </c>
      <c r="I12" s="44" t="s">
        <v>189</v>
      </c>
      <c r="J12" s="45" t="s">
        <v>190</v>
      </c>
      <c r="K12" s="44">
        <v>12319</v>
      </c>
      <c r="L12" s="44" t="s">
        <v>162</v>
      </c>
      <c r="M12" s="45" t="s">
        <v>145</v>
      </c>
      <c r="N12" s="45"/>
      <c r="O12" s="46" t="s">
        <v>182</v>
      </c>
      <c r="P12" s="46" t="s">
        <v>191</v>
      </c>
    </row>
    <row r="13" spans="1:16" ht="12.75" customHeight="1" thickBot="1">
      <c r="A13" s="9" t="str">
        <f t="shared" si="0"/>
        <v> BBS 99 </v>
      </c>
      <c r="B13" s="16" t="str">
        <f t="shared" si="1"/>
        <v>I</v>
      </c>
      <c r="C13" s="9">
        <f t="shared" si="2"/>
        <v>48587.267999999996</v>
      </c>
      <c r="D13" s="8" t="str">
        <f t="shared" si="3"/>
        <v>vis</v>
      </c>
      <c r="E13" s="43">
        <f>VLOOKUP(C13,Active!C$21:E$973,3,FALSE)</f>
        <v>12665.94285769996</v>
      </c>
      <c r="F13" s="16" t="s">
        <v>65</v>
      </c>
      <c r="G13" s="8" t="str">
        <f t="shared" si="4"/>
        <v>48587.268</v>
      </c>
      <c r="H13" s="9">
        <f t="shared" si="5"/>
        <v>12666</v>
      </c>
      <c r="I13" s="44" t="s">
        <v>195</v>
      </c>
      <c r="J13" s="45" t="s">
        <v>196</v>
      </c>
      <c r="K13" s="44">
        <v>12666</v>
      </c>
      <c r="L13" s="44" t="s">
        <v>197</v>
      </c>
      <c r="M13" s="45" t="s">
        <v>145</v>
      </c>
      <c r="N13" s="45"/>
      <c r="O13" s="46" t="s">
        <v>182</v>
      </c>
      <c r="P13" s="46" t="s">
        <v>198</v>
      </c>
    </row>
    <row r="14" spans="1:16" ht="12.75" customHeight="1" thickBot="1">
      <c r="A14" s="9" t="str">
        <f t="shared" si="0"/>
        <v> BBS 100 </v>
      </c>
      <c r="B14" s="16" t="str">
        <f t="shared" si="1"/>
        <v>I</v>
      </c>
      <c r="C14" s="9">
        <f t="shared" si="2"/>
        <v>48683.614999999998</v>
      </c>
      <c r="D14" s="8" t="str">
        <f t="shared" si="3"/>
        <v>vis</v>
      </c>
      <c r="E14" s="43">
        <f>VLOOKUP(C14,Active!C$21:E$973,3,FALSE)</f>
        <v>12741.939801825663</v>
      </c>
      <c r="F14" s="16" t="s">
        <v>65</v>
      </c>
      <c r="G14" s="8" t="str">
        <f t="shared" si="4"/>
        <v>48683.615</v>
      </c>
      <c r="H14" s="9">
        <f t="shared" si="5"/>
        <v>12742</v>
      </c>
      <c r="I14" s="44" t="s">
        <v>199</v>
      </c>
      <c r="J14" s="45" t="s">
        <v>200</v>
      </c>
      <c r="K14" s="44">
        <v>12742</v>
      </c>
      <c r="L14" s="44" t="s">
        <v>201</v>
      </c>
      <c r="M14" s="45" t="s">
        <v>145</v>
      </c>
      <c r="N14" s="45"/>
      <c r="O14" s="46" t="s">
        <v>182</v>
      </c>
      <c r="P14" s="46" t="s">
        <v>202</v>
      </c>
    </row>
    <row r="15" spans="1:16" ht="12.75" customHeight="1" thickBot="1">
      <c r="A15" s="9" t="str">
        <f t="shared" si="0"/>
        <v> BBS 101 </v>
      </c>
      <c r="B15" s="16" t="str">
        <f t="shared" si="1"/>
        <v>I</v>
      </c>
      <c r="C15" s="9">
        <f t="shared" si="2"/>
        <v>48801.51</v>
      </c>
      <c r="D15" s="8" t="str">
        <f t="shared" si="3"/>
        <v>vis</v>
      </c>
      <c r="E15" s="43">
        <f>VLOOKUP(C15,Active!C$21:E$973,3,FALSE)</f>
        <v>12834.933457338548</v>
      </c>
      <c r="F15" s="16" t="s">
        <v>65</v>
      </c>
      <c r="G15" s="8" t="str">
        <f t="shared" si="4"/>
        <v>48801.510</v>
      </c>
      <c r="H15" s="9">
        <f t="shared" si="5"/>
        <v>12835</v>
      </c>
      <c r="I15" s="44" t="s">
        <v>203</v>
      </c>
      <c r="J15" s="45" t="s">
        <v>204</v>
      </c>
      <c r="K15" s="44">
        <v>12835</v>
      </c>
      <c r="L15" s="44" t="s">
        <v>205</v>
      </c>
      <c r="M15" s="45" t="s">
        <v>145</v>
      </c>
      <c r="N15" s="45"/>
      <c r="O15" s="46" t="s">
        <v>182</v>
      </c>
      <c r="P15" s="46" t="s">
        <v>206</v>
      </c>
    </row>
    <row r="16" spans="1:16" ht="12.75" customHeight="1" thickBot="1">
      <c r="A16" s="9" t="str">
        <f t="shared" si="0"/>
        <v> BBS 107 </v>
      </c>
      <c r="B16" s="16" t="str">
        <f t="shared" si="1"/>
        <v>I</v>
      </c>
      <c r="C16" s="9">
        <f t="shared" si="2"/>
        <v>49511.461000000003</v>
      </c>
      <c r="D16" s="8" t="str">
        <f t="shared" si="3"/>
        <v>vis</v>
      </c>
      <c r="E16" s="43">
        <f>VLOOKUP(C16,Active!C$21:E$973,3,FALSE)</f>
        <v>13394.931241171837</v>
      </c>
      <c r="F16" s="16" t="s">
        <v>65</v>
      </c>
      <c r="G16" s="8" t="str">
        <f t="shared" si="4"/>
        <v>49511.461</v>
      </c>
      <c r="H16" s="9">
        <f t="shared" si="5"/>
        <v>13395</v>
      </c>
      <c r="I16" s="44" t="s">
        <v>217</v>
      </c>
      <c r="J16" s="45" t="s">
        <v>218</v>
      </c>
      <c r="K16" s="44">
        <v>13395</v>
      </c>
      <c r="L16" s="44" t="s">
        <v>219</v>
      </c>
      <c r="M16" s="45" t="s">
        <v>145</v>
      </c>
      <c r="N16" s="45"/>
      <c r="O16" s="46" t="s">
        <v>182</v>
      </c>
      <c r="P16" s="46" t="s">
        <v>220</v>
      </c>
    </row>
    <row r="17" spans="1:16" ht="12.75" customHeight="1" thickBot="1">
      <c r="A17" s="9" t="str">
        <f t="shared" si="0"/>
        <v> BBS 114 </v>
      </c>
      <c r="B17" s="16" t="str">
        <f t="shared" si="1"/>
        <v>I</v>
      </c>
      <c r="C17" s="9">
        <f t="shared" si="2"/>
        <v>50539.618000000002</v>
      </c>
      <c r="D17" s="8" t="str">
        <f t="shared" si="3"/>
        <v>vis</v>
      </c>
      <c r="E17" s="43">
        <f>VLOOKUP(C17,Active!C$21:E$973,3,FALSE)</f>
        <v>14205.924734289927</v>
      </c>
      <c r="F17" s="16" t="s">
        <v>65</v>
      </c>
      <c r="G17" s="8" t="str">
        <f t="shared" si="4"/>
        <v>50539.618</v>
      </c>
      <c r="H17" s="9">
        <f t="shared" si="5"/>
        <v>14206</v>
      </c>
      <c r="I17" s="44" t="s">
        <v>221</v>
      </c>
      <c r="J17" s="45" t="s">
        <v>222</v>
      </c>
      <c r="K17" s="44">
        <v>14206</v>
      </c>
      <c r="L17" s="44" t="s">
        <v>223</v>
      </c>
      <c r="M17" s="45" t="s">
        <v>145</v>
      </c>
      <c r="N17" s="45"/>
      <c r="O17" s="46" t="s">
        <v>182</v>
      </c>
      <c r="P17" s="46" t="s">
        <v>224</v>
      </c>
    </row>
    <row r="18" spans="1:16" ht="12.75" customHeight="1" thickBot="1">
      <c r="A18" s="9" t="str">
        <f t="shared" si="0"/>
        <v>IBVS 5583 </v>
      </c>
      <c r="B18" s="16" t="str">
        <f t="shared" si="1"/>
        <v>I</v>
      </c>
      <c r="C18" s="9">
        <f t="shared" si="2"/>
        <v>52437.443099999997</v>
      </c>
      <c r="D18" s="8" t="str">
        <f t="shared" si="3"/>
        <v>vis</v>
      </c>
      <c r="E18" s="43">
        <f>VLOOKUP(C18,Active!C$21:E$973,3,FALSE)</f>
        <v>15702.898257960131</v>
      </c>
      <c r="F18" s="16" t="s">
        <v>65</v>
      </c>
      <c r="G18" s="8" t="str">
        <f t="shared" si="4"/>
        <v>52437.4431</v>
      </c>
      <c r="H18" s="9">
        <f t="shared" si="5"/>
        <v>15703</v>
      </c>
      <c r="I18" s="44" t="s">
        <v>234</v>
      </c>
      <c r="J18" s="45" t="s">
        <v>235</v>
      </c>
      <c r="K18" s="44">
        <v>15703</v>
      </c>
      <c r="L18" s="44" t="s">
        <v>236</v>
      </c>
      <c r="M18" s="45" t="s">
        <v>210</v>
      </c>
      <c r="N18" s="45" t="s">
        <v>237</v>
      </c>
      <c r="O18" s="46" t="s">
        <v>163</v>
      </c>
      <c r="P18" s="47" t="s">
        <v>238</v>
      </c>
    </row>
    <row r="19" spans="1:16" ht="12.75" customHeight="1" thickBot="1">
      <c r="A19" s="9" t="str">
        <f t="shared" si="0"/>
        <v>BAVM 172 </v>
      </c>
      <c r="B19" s="16" t="str">
        <f t="shared" si="1"/>
        <v>I</v>
      </c>
      <c r="C19" s="9">
        <f t="shared" si="2"/>
        <v>52816.5049</v>
      </c>
      <c r="D19" s="8" t="str">
        <f t="shared" si="3"/>
        <v>vis</v>
      </c>
      <c r="E19" s="43">
        <f>VLOOKUP(C19,Active!C$21:E$973,3,FALSE)</f>
        <v>16001.896030955533</v>
      </c>
      <c r="F19" s="16" t="s">
        <v>65</v>
      </c>
      <c r="G19" s="8" t="str">
        <f t="shared" si="4"/>
        <v>52816.5049</v>
      </c>
      <c r="H19" s="9">
        <f t="shared" si="5"/>
        <v>16002</v>
      </c>
      <c r="I19" s="44" t="s">
        <v>248</v>
      </c>
      <c r="J19" s="45" t="s">
        <v>249</v>
      </c>
      <c r="K19" s="44">
        <v>16002</v>
      </c>
      <c r="L19" s="44" t="s">
        <v>250</v>
      </c>
      <c r="M19" s="45" t="s">
        <v>210</v>
      </c>
      <c r="N19" s="45" t="s">
        <v>211</v>
      </c>
      <c r="O19" s="46" t="s">
        <v>251</v>
      </c>
      <c r="P19" s="47" t="s">
        <v>252</v>
      </c>
    </row>
    <row r="20" spans="1:16" ht="12.75" customHeight="1" thickBot="1">
      <c r="A20" s="9" t="str">
        <f t="shared" si="0"/>
        <v>OEJV 0003 </v>
      </c>
      <c r="B20" s="16" t="str">
        <f t="shared" si="1"/>
        <v>I</v>
      </c>
      <c r="C20" s="9">
        <f t="shared" si="2"/>
        <v>53284.336000000003</v>
      </c>
      <c r="D20" s="8" t="str">
        <f t="shared" si="3"/>
        <v>vis</v>
      </c>
      <c r="E20" s="43">
        <f>VLOOKUP(C20,Active!C$21:E$973,3,FALSE)</f>
        <v>16370.913581755927</v>
      </c>
      <c r="F20" s="16" t="s">
        <v>65</v>
      </c>
      <c r="G20" s="8" t="str">
        <f t="shared" si="4"/>
        <v>53284.336</v>
      </c>
      <c r="H20" s="9">
        <f t="shared" si="5"/>
        <v>16371</v>
      </c>
      <c r="I20" s="44" t="s">
        <v>258</v>
      </c>
      <c r="J20" s="45" t="s">
        <v>259</v>
      </c>
      <c r="K20" s="44">
        <v>16371</v>
      </c>
      <c r="L20" s="44" t="s">
        <v>260</v>
      </c>
      <c r="M20" s="45" t="s">
        <v>145</v>
      </c>
      <c r="N20" s="45"/>
      <c r="O20" s="46" t="s">
        <v>182</v>
      </c>
      <c r="P20" s="47" t="s">
        <v>261</v>
      </c>
    </row>
    <row r="21" spans="1:16" ht="12.75" customHeight="1" thickBot="1">
      <c r="A21" s="9" t="str">
        <f t="shared" si="0"/>
        <v>IBVS 5713 </v>
      </c>
      <c r="B21" s="16" t="str">
        <f t="shared" si="1"/>
        <v>I</v>
      </c>
      <c r="C21" s="9">
        <f t="shared" si="2"/>
        <v>53592.373699999996</v>
      </c>
      <c r="D21" s="8" t="str">
        <f t="shared" si="3"/>
        <v>vis</v>
      </c>
      <c r="E21" s="43">
        <f>VLOOKUP(C21,Active!C$21:E$973,3,FALSE)</f>
        <v>16613.888701640397</v>
      </c>
      <c r="F21" s="16" t="s">
        <v>65</v>
      </c>
      <c r="G21" s="8" t="str">
        <f t="shared" si="4"/>
        <v>53592.3737</v>
      </c>
      <c r="H21" s="9">
        <f t="shared" si="5"/>
        <v>16614</v>
      </c>
      <c r="I21" s="44" t="s">
        <v>262</v>
      </c>
      <c r="J21" s="45" t="s">
        <v>263</v>
      </c>
      <c r="K21" s="44">
        <v>16614</v>
      </c>
      <c r="L21" s="44" t="s">
        <v>264</v>
      </c>
      <c r="M21" s="45" t="s">
        <v>210</v>
      </c>
      <c r="N21" s="45" t="s">
        <v>237</v>
      </c>
      <c r="O21" s="46" t="s">
        <v>265</v>
      </c>
      <c r="P21" s="47" t="s">
        <v>266</v>
      </c>
    </row>
    <row r="22" spans="1:16" ht="12.75" customHeight="1" thickBot="1">
      <c r="A22" s="9" t="str">
        <f t="shared" si="0"/>
        <v>OEJV 0003 </v>
      </c>
      <c r="B22" s="16" t="str">
        <f t="shared" si="1"/>
        <v>I</v>
      </c>
      <c r="C22" s="9">
        <f t="shared" si="2"/>
        <v>53592.379000000001</v>
      </c>
      <c r="D22" s="8" t="str">
        <f t="shared" si="3"/>
        <v>vis</v>
      </c>
      <c r="E22" s="43">
        <f>VLOOKUP(C22,Active!C$21:E$973,3,FALSE)</f>
        <v>16613.892882194064</v>
      </c>
      <c r="F22" s="16" t="s">
        <v>65</v>
      </c>
      <c r="G22" s="8" t="str">
        <f t="shared" si="4"/>
        <v>53592.379</v>
      </c>
      <c r="H22" s="9">
        <f t="shared" si="5"/>
        <v>16614</v>
      </c>
      <c r="I22" s="44" t="s">
        <v>267</v>
      </c>
      <c r="J22" s="45" t="s">
        <v>268</v>
      </c>
      <c r="K22" s="44">
        <v>16614</v>
      </c>
      <c r="L22" s="44" t="s">
        <v>269</v>
      </c>
      <c r="M22" s="45" t="s">
        <v>145</v>
      </c>
      <c r="N22" s="45"/>
      <c r="O22" s="46" t="s">
        <v>182</v>
      </c>
      <c r="P22" s="47" t="s">
        <v>261</v>
      </c>
    </row>
    <row r="23" spans="1:16" ht="12.75" customHeight="1" thickBot="1">
      <c r="A23" s="9" t="str">
        <f t="shared" si="0"/>
        <v>BAVM 178 </v>
      </c>
      <c r="B23" s="16" t="str">
        <f t="shared" si="1"/>
        <v>I</v>
      </c>
      <c r="C23" s="9">
        <f t="shared" si="2"/>
        <v>53658.297400000003</v>
      </c>
      <c r="D23" s="8" t="str">
        <f t="shared" si="3"/>
        <v>vis</v>
      </c>
      <c r="E23" s="43">
        <f>VLOOKUP(C23,Active!C$21:E$973,3,FALSE)</f>
        <v>16665.888242315872</v>
      </c>
      <c r="F23" s="16" t="s">
        <v>65</v>
      </c>
      <c r="G23" s="8" t="str">
        <f t="shared" si="4"/>
        <v>53658.2974</v>
      </c>
      <c r="H23" s="9">
        <f t="shared" si="5"/>
        <v>16666</v>
      </c>
      <c r="I23" s="44" t="s">
        <v>270</v>
      </c>
      <c r="J23" s="45" t="s">
        <v>271</v>
      </c>
      <c r="K23" s="44">
        <v>16666</v>
      </c>
      <c r="L23" s="44" t="s">
        <v>272</v>
      </c>
      <c r="M23" s="45" t="s">
        <v>242</v>
      </c>
      <c r="N23" s="45" t="s">
        <v>273</v>
      </c>
      <c r="O23" s="46" t="s">
        <v>274</v>
      </c>
      <c r="P23" s="47" t="s">
        <v>275</v>
      </c>
    </row>
    <row r="24" spans="1:16" ht="12.75" customHeight="1" thickBot="1">
      <c r="A24" s="9" t="str">
        <f t="shared" si="0"/>
        <v>IBVS 5713 </v>
      </c>
      <c r="B24" s="16" t="str">
        <f t="shared" si="1"/>
        <v>I</v>
      </c>
      <c r="C24" s="9">
        <f t="shared" si="2"/>
        <v>53900.440499999997</v>
      </c>
      <c r="D24" s="8" t="str">
        <f t="shared" si="3"/>
        <v>vis</v>
      </c>
      <c r="E24" s="43">
        <f>VLOOKUP(C24,Active!C$21:E$973,3,FALSE)</f>
        <v>16856.886775130839</v>
      </c>
      <c r="F24" s="16" t="s">
        <v>65</v>
      </c>
      <c r="G24" s="8" t="str">
        <f t="shared" si="4"/>
        <v>53900.4405</v>
      </c>
      <c r="H24" s="9">
        <f t="shared" si="5"/>
        <v>16857</v>
      </c>
      <c r="I24" s="44" t="s">
        <v>276</v>
      </c>
      <c r="J24" s="45" t="s">
        <v>277</v>
      </c>
      <c r="K24" s="44" t="s">
        <v>278</v>
      </c>
      <c r="L24" s="44" t="s">
        <v>279</v>
      </c>
      <c r="M24" s="45" t="s">
        <v>210</v>
      </c>
      <c r="N24" s="45" t="s">
        <v>237</v>
      </c>
      <c r="O24" s="46" t="s">
        <v>265</v>
      </c>
      <c r="P24" s="47" t="s">
        <v>266</v>
      </c>
    </row>
    <row r="25" spans="1:16" ht="12.75" customHeight="1" thickBot="1">
      <c r="A25" s="9" t="str">
        <f t="shared" si="0"/>
        <v>BAVM 215 </v>
      </c>
      <c r="B25" s="16" t="str">
        <f t="shared" si="1"/>
        <v>I</v>
      </c>
      <c r="C25" s="9">
        <f t="shared" si="2"/>
        <v>55387.534599999999</v>
      </c>
      <c r="D25" s="8" t="str">
        <f t="shared" si="3"/>
        <v>vis</v>
      </c>
      <c r="E25" s="43">
        <f>VLOOKUP(C25,Active!C$21:E$973,3,FALSE)</f>
        <v>18029.882376730893</v>
      </c>
      <c r="F25" s="16" t="s">
        <v>65</v>
      </c>
      <c r="G25" s="8" t="str">
        <f t="shared" si="4"/>
        <v>55387.5346</v>
      </c>
      <c r="H25" s="9">
        <f t="shared" si="5"/>
        <v>18030</v>
      </c>
      <c r="I25" s="44" t="s">
        <v>280</v>
      </c>
      <c r="J25" s="45" t="s">
        <v>281</v>
      </c>
      <c r="K25" s="44" t="s">
        <v>282</v>
      </c>
      <c r="L25" s="44" t="s">
        <v>283</v>
      </c>
      <c r="M25" s="45" t="s">
        <v>242</v>
      </c>
      <c r="N25" s="45" t="s">
        <v>273</v>
      </c>
      <c r="O25" s="46" t="s">
        <v>274</v>
      </c>
      <c r="P25" s="47" t="s">
        <v>284</v>
      </c>
    </row>
    <row r="26" spans="1:16" ht="12.75" customHeight="1" thickBot="1">
      <c r="A26" s="9" t="str">
        <f t="shared" si="0"/>
        <v>BAVM 220 </v>
      </c>
      <c r="B26" s="16" t="str">
        <f t="shared" si="1"/>
        <v>I</v>
      </c>
      <c r="C26" s="9">
        <f t="shared" si="2"/>
        <v>55643.6227</v>
      </c>
      <c r="D26" s="8" t="str">
        <f t="shared" si="3"/>
        <v>vis</v>
      </c>
      <c r="E26" s="43">
        <f>VLOOKUP(C26,Active!C$21:E$973,3,FALSE)</f>
        <v>18231.880498384468</v>
      </c>
      <c r="F26" s="16" t="s">
        <v>65</v>
      </c>
      <c r="G26" s="8" t="str">
        <f t="shared" si="4"/>
        <v>55643.6227</v>
      </c>
      <c r="H26" s="9">
        <f t="shared" si="5"/>
        <v>18232</v>
      </c>
      <c r="I26" s="44" t="s">
        <v>285</v>
      </c>
      <c r="J26" s="45" t="s">
        <v>286</v>
      </c>
      <c r="K26" s="44" t="s">
        <v>287</v>
      </c>
      <c r="L26" s="44" t="s">
        <v>288</v>
      </c>
      <c r="M26" s="45" t="s">
        <v>242</v>
      </c>
      <c r="N26" s="45" t="s">
        <v>211</v>
      </c>
      <c r="O26" s="46" t="s">
        <v>289</v>
      </c>
      <c r="P26" s="47" t="s">
        <v>290</v>
      </c>
    </row>
    <row r="27" spans="1:16" ht="12.75" customHeight="1" thickBot="1">
      <c r="A27" s="9" t="str">
        <f t="shared" si="0"/>
        <v> RIA 6.210 </v>
      </c>
      <c r="B27" s="16" t="str">
        <f t="shared" si="1"/>
        <v>I</v>
      </c>
      <c r="C27" s="9">
        <f t="shared" si="2"/>
        <v>19618.68</v>
      </c>
      <c r="D27" s="8" t="str">
        <f t="shared" si="3"/>
        <v>vis</v>
      </c>
      <c r="E27" s="43">
        <f>VLOOKUP(C27,Active!C$21:E$973,3,FALSE)</f>
        <v>-10184.007463913185</v>
      </c>
      <c r="F27" s="16" t="s">
        <v>65</v>
      </c>
      <c r="G27" s="8" t="str">
        <f t="shared" si="4"/>
        <v>19618.680</v>
      </c>
      <c r="H27" s="9">
        <f t="shared" si="5"/>
        <v>-10184</v>
      </c>
      <c r="I27" s="44" t="s">
        <v>68</v>
      </c>
      <c r="J27" s="45" t="s">
        <v>69</v>
      </c>
      <c r="K27" s="44">
        <v>-10184</v>
      </c>
      <c r="L27" s="44" t="s">
        <v>70</v>
      </c>
      <c r="M27" s="45" t="s">
        <v>71</v>
      </c>
      <c r="N27" s="45"/>
      <c r="O27" s="46" t="s">
        <v>72</v>
      </c>
      <c r="P27" s="46" t="s">
        <v>73</v>
      </c>
    </row>
    <row r="28" spans="1:16" ht="12.75" customHeight="1" thickBot="1">
      <c r="A28" s="9" t="str">
        <f t="shared" si="0"/>
        <v> RIA 6.210 </v>
      </c>
      <c r="B28" s="16" t="str">
        <f t="shared" si="1"/>
        <v>I</v>
      </c>
      <c r="C28" s="9">
        <f t="shared" si="2"/>
        <v>25479.633000000002</v>
      </c>
      <c r="D28" s="8" t="str">
        <f t="shared" si="3"/>
        <v>vis</v>
      </c>
      <c r="E28" s="43">
        <f>VLOOKUP(C28,Active!C$21:E$973,3,FALSE)</f>
        <v>-5560.9832113224284</v>
      </c>
      <c r="F28" s="16" t="s">
        <v>65</v>
      </c>
      <c r="G28" s="8" t="str">
        <f t="shared" si="4"/>
        <v>25479.633</v>
      </c>
      <c r="H28" s="9">
        <f t="shared" si="5"/>
        <v>-5561</v>
      </c>
      <c r="I28" s="44" t="s">
        <v>74</v>
      </c>
      <c r="J28" s="45" t="s">
        <v>75</v>
      </c>
      <c r="K28" s="44">
        <v>-5561</v>
      </c>
      <c r="L28" s="44" t="s">
        <v>76</v>
      </c>
      <c r="M28" s="45" t="s">
        <v>71</v>
      </c>
      <c r="N28" s="45"/>
      <c r="O28" s="46" t="s">
        <v>72</v>
      </c>
      <c r="P28" s="46" t="s">
        <v>73</v>
      </c>
    </row>
    <row r="29" spans="1:16" ht="12.75" customHeight="1" thickBot="1">
      <c r="A29" s="9" t="str">
        <f t="shared" si="0"/>
        <v> AN 256.284 </v>
      </c>
      <c r="B29" s="16" t="str">
        <f t="shared" si="1"/>
        <v>I</v>
      </c>
      <c r="C29" s="9">
        <f t="shared" si="2"/>
        <v>27543.564999999999</v>
      </c>
      <c r="D29" s="8" t="str">
        <f t="shared" si="3"/>
        <v>vis</v>
      </c>
      <c r="E29" s="43">
        <f>VLOOKUP(C29,Active!C$21:E$973,3,FALSE)</f>
        <v>-3932.9872707820196</v>
      </c>
      <c r="F29" s="16" t="s">
        <v>65</v>
      </c>
      <c r="G29" s="8" t="str">
        <f t="shared" si="4"/>
        <v>27543.565</v>
      </c>
      <c r="H29" s="9">
        <f t="shared" si="5"/>
        <v>-3933</v>
      </c>
      <c r="I29" s="44" t="s">
        <v>77</v>
      </c>
      <c r="J29" s="45" t="s">
        <v>78</v>
      </c>
      <c r="K29" s="44">
        <v>-3933</v>
      </c>
      <c r="L29" s="44" t="s">
        <v>79</v>
      </c>
      <c r="M29" s="45" t="s">
        <v>71</v>
      </c>
      <c r="N29" s="45"/>
      <c r="O29" s="46" t="s">
        <v>80</v>
      </c>
      <c r="P29" s="46" t="s">
        <v>81</v>
      </c>
    </row>
    <row r="30" spans="1:16" ht="12.75" customHeight="1" thickBot="1">
      <c r="A30" s="9" t="str">
        <f t="shared" si="0"/>
        <v> AN 256.284 </v>
      </c>
      <c r="B30" s="16" t="str">
        <f t="shared" si="1"/>
        <v>I</v>
      </c>
      <c r="C30" s="9">
        <f t="shared" si="2"/>
        <v>27628.501</v>
      </c>
      <c r="D30" s="8" t="str">
        <f t="shared" si="3"/>
        <v>vis</v>
      </c>
      <c r="E30" s="43">
        <f>VLOOKUP(C30,Active!C$21:E$973,3,FALSE)</f>
        <v>-3865.9911375732981</v>
      </c>
      <c r="F30" s="16" t="s">
        <v>65</v>
      </c>
      <c r="G30" s="8" t="str">
        <f t="shared" si="4"/>
        <v>27628.501</v>
      </c>
      <c r="H30" s="9">
        <f t="shared" si="5"/>
        <v>-3866</v>
      </c>
      <c r="I30" s="44" t="s">
        <v>82</v>
      </c>
      <c r="J30" s="45" t="s">
        <v>83</v>
      </c>
      <c r="K30" s="44">
        <v>-3866</v>
      </c>
      <c r="L30" s="44" t="s">
        <v>84</v>
      </c>
      <c r="M30" s="45" t="s">
        <v>71</v>
      </c>
      <c r="N30" s="45"/>
      <c r="O30" s="46" t="s">
        <v>80</v>
      </c>
      <c r="P30" s="46" t="s">
        <v>81</v>
      </c>
    </row>
    <row r="31" spans="1:16" ht="12.75" customHeight="1" thickBot="1">
      <c r="A31" s="9" t="str">
        <f t="shared" si="0"/>
        <v> RIA 6.210 </v>
      </c>
      <c r="B31" s="16" t="str">
        <f t="shared" si="1"/>
        <v>I</v>
      </c>
      <c r="C31" s="9">
        <f t="shared" si="2"/>
        <v>29142.22</v>
      </c>
      <c r="D31" s="8" t="str">
        <f t="shared" si="3"/>
        <v>vis</v>
      </c>
      <c r="E31" s="43">
        <f>VLOOKUP(C31,Active!C$21:E$973,3,FALSE)</f>
        <v>-2671.9942485678016</v>
      </c>
      <c r="F31" s="16" t="s">
        <v>65</v>
      </c>
      <c r="G31" s="8" t="str">
        <f t="shared" si="4"/>
        <v>29142.220</v>
      </c>
      <c r="H31" s="9">
        <f t="shared" si="5"/>
        <v>-2672</v>
      </c>
      <c r="I31" s="44" t="s">
        <v>85</v>
      </c>
      <c r="J31" s="45" t="s">
        <v>86</v>
      </c>
      <c r="K31" s="44">
        <v>-2672</v>
      </c>
      <c r="L31" s="44" t="s">
        <v>87</v>
      </c>
      <c r="M31" s="45" t="s">
        <v>71</v>
      </c>
      <c r="N31" s="45"/>
      <c r="O31" s="46" t="s">
        <v>72</v>
      </c>
      <c r="P31" s="46" t="s">
        <v>73</v>
      </c>
    </row>
    <row r="32" spans="1:16" ht="12.75" customHeight="1" thickBot="1">
      <c r="A32" s="9" t="str">
        <f t="shared" si="0"/>
        <v> RIA 6.210 </v>
      </c>
      <c r="B32" s="16" t="str">
        <f t="shared" si="1"/>
        <v>I</v>
      </c>
      <c r="C32" s="9">
        <f t="shared" si="2"/>
        <v>31326.554</v>
      </c>
      <c r="D32" s="8" t="str">
        <f t="shared" si="3"/>
        <v>vis</v>
      </c>
      <c r="E32" s="43">
        <f>VLOOKUP(C32,Active!C$21:E$973,3,FALSE)</f>
        <v>-949.02717175306316</v>
      </c>
      <c r="F32" s="16" t="s">
        <v>65</v>
      </c>
      <c r="G32" s="8" t="str">
        <f t="shared" si="4"/>
        <v>31326.554</v>
      </c>
      <c r="H32" s="9">
        <f t="shared" si="5"/>
        <v>-949</v>
      </c>
      <c r="I32" s="44" t="s">
        <v>88</v>
      </c>
      <c r="J32" s="45" t="s">
        <v>89</v>
      </c>
      <c r="K32" s="44">
        <v>-949</v>
      </c>
      <c r="L32" s="44" t="s">
        <v>90</v>
      </c>
      <c r="M32" s="45" t="s">
        <v>71</v>
      </c>
      <c r="N32" s="45"/>
      <c r="O32" s="46" t="s">
        <v>72</v>
      </c>
      <c r="P32" s="46" t="s">
        <v>73</v>
      </c>
    </row>
    <row r="33" spans="1:16" ht="12.75" customHeight="1" thickBot="1">
      <c r="A33" s="9" t="str">
        <f t="shared" si="0"/>
        <v> RIA 6.210 </v>
      </c>
      <c r="B33" s="16" t="str">
        <f t="shared" si="1"/>
        <v>I</v>
      </c>
      <c r="C33" s="9">
        <f t="shared" si="2"/>
        <v>32628.588</v>
      </c>
      <c r="D33" s="8" t="str">
        <f t="shared" si="3"/>
        <v>vis</v>
      </c>
      <c r="E33" s="43">
        <f>VLOOKUP(C33,Active!C$21:E$973,3,FALSE)</f>
        <v>77.996037560806272</v>
      </c>
      <c r="F33" s="16" t="s">
        <v>65</v>
      </c>
      <c r="G33" s="8" t="str">
        <f t="shared" si="4"/>
        <v>32628.588</v>
      </c>
      <c r="H33" s="9">
        <f t="shared" si="5"/>
        <v>78</v>
      </c>
      <c r="I33" s="44" t="s">
        <v>91</v>
      </c>
      <c r="J33" s="45" t="s">
        <v>92</v>
      </c>
      <c r="K33" s="44">
        <v>78</v>
      </c>
      <c r="L33" s="44" t="s">
        <v>93</v>
      </c>
      <c r="M33" s="45" t="s">
        <v>67</v>
      </c>
      <c r="N33" s="45"/>
      <c r="O33" s="46" t="s">
        <v>72</v>
      </c>
      <c r="P33" s="46" t="s">
        <v>73</v>
      </c>
    </row>
    <row r="34" spans="1:16" ht="12.75" customHeight="1" thickBot="1">
      <c r="A34" s="9" t="str">
        <f t="shared" si="0"/>
        <v> RIA 6.210 </v>
      </c>
      <c r="B34" s="16" t="str">
        <f t="shared" si="1"/>
        <v>I</v>
      </c>
      <c r="C34" s="9">
        <f t="shared" si="2"/>
        <v>32746.495999999999</v>
      </c>
      <c r="D34" s="8" t="str">
        <f t="shared" si="3"/>
        <v>vis</v>
      </c>
      <c r="E34" s="43">
        <f>VLOOKUP(C34,Active!C$21:E$973,3,FALSE)</f>
        <v>170.99994726191943</v>
      </c>
      <c r="F34" s="16" t="s">
        <v>65</v>
      </c>
      <c r="G34" s="8" t="str">
        <f t="shared" si="4"/>
        <v>32746.496</v>
      </c>
      <c r="H34" s="9">
        <f t="shared" si="5"/>
        <v>171</v>
      </c>
      <c r="I34" s="44" t="s">
        <v>94</v>
      </c>
      <c r="J34" s="45" t="s">
        <v>95</v>
      </c>
      <c r="K34" s="44">
        <v>171</v>
      </c>
      <c r="L34" s="44" t="s">
        <v>96</v>
      </c>
      <c r="M34" s="45" t="s">
        <v>67</v>
      </c>
      <c r="N34" s="45"/>
      <c r="O34" s="46" t="s">
        <v>72</v>
      </c>
      <c r="P34" s="46" t="s">
        <v>73</v>
      </c>
    </row>
    <row r="35" spans="1:16" ht="12.75" customHeight="1" thickBot="1">
      <c r="A35" s="9" t="str">
        <f t="shared" si="0"/>
        <v> RIA 6.210 </v>
      </c>
      <c r="B35" s="16" t="str">
        <f t="shared" si="1"/>
        <v>I</v>
      </c>
      <c r="C35" s="9">
        <f t="shared" si="2"/>
        <v>32836.510999999999</v>
      </c>
      <c r="D35" s="8" t="str">
        <f t="shared" si="3"/>
        <v>vis</v>
      </c>
      <c r="E35" s="43">
        <f>VLOOKUP(C35,Active!C$21:E$973,3,FALSE)</f>
        <v>242.00231293469557</v>
      </c>
      <c r="F35" s="16" t="s">
        <v>65</v>
      </c>
      <c r="G35" s="8" t="str">
        <f t="shared" si="4"/>
        <v>32836.511</v>
      </c>
      <c r="H35" s="9">
        <f t="shared" si="5"/>
        <v>242</v>
      </c>
      <c r="I35" s="44" t="s">
        <v>97</v>
      </c>
      <c r="J35" s="45" t="s">
        <v>98</v>
      </c>
      <c r="K35" s="44">
        <v>242</v>
      </c>
      <c r="L35" s="44" t="s">
        <v>99</v>
      </c>
      <c r="M35" s="45" t="s">
        <v>67</v>
      </c>
      <c r="N35" s="45"/>
      <c r="O35" s="46" t="s">
        <v>72</v>
      </c>
      <c r="P35" s="46" t="s">
        <v>73</v>
      </c>
    </row>
    <row r="36" spans="1:16" ht="12.75" customHeight="1" thickBot="1">
      <c r="A36" s="9" t="str">
        <f t="shared" si="0"/>
        <v> RIA 6.210 </v>
      </c>
      <c r="B36" s="16" t="str">
        <f t="shared" si="1"/>
        <v>I</v>
      </c>
      <c r="C36" s="9">
        <f t="shared" si="2"/>
        <v>32950.612000000001</v>
      </c>
      <c r="D36" s="8" t="str">
        <f t="shared" si="3"/>
        <v>vis</v>
      </c>
      <c r="E36" s="43">
        <f>VLOOKUP(C36,Active!C$21:E$973,3,FALSE)</f>
        <v>332.00332305111669</v>
      </c>
      <c r="F36" s="16" t="s">
        <v>65</v>
      </c>
      <c r="G36" s="8" t="str">
        <f t="shared" si="4"/>
        <v>32950.612</v>
      </c>
      <c r="H36" s="9">
        <f t="shared" si="5"/>
        <v>332</v>
      </c>
      <c r="I36" s="44" t="s">
        <v>100</v>
      </c>
      <c r="J36" s="45" t="s">
        <v>101</v>
      </c>
      <c r="K36" s="44">
        <v>332</v>
      </c>
      <c r="L36" s="44" t="s">
        <v>102</v>
      </c>
      <c r="M36" s="45" t="s">
        <v>67</v>
      </c>
      <c r="N36" s="45"/>
      <c r="O36" s="46" t="s">
        <v>72</v>
      </c>
      <c r="P36" s="46" t="s">
        <v>73</v>
      </c>
    </row>
    <row r="37" spans="1:16" ht="12.75" customHeight="1" thickBot="1">
      <c r="A37" s="9" t="str">
        <f t="shared" si="0"/>
        <v> RIA 6.210 </v>
      </c>
      <c r="B37" s="16" t="str">
        <f t="shared" si="1"/>
        <v>I</v>
      </c>
      <c r="C37" s="9">
        <f t="shared" si="2"/>
        <v>33129.366999999998</v>
      </c>
      <c r="D37" s="8" t="str">
        <f t="shared" si="3"/>
        <v>vis</v>
      </c>
      <c r="E37" s="43">
        <f>VLOOKUP(C37,Active!C$21:E$973,3,FALSE)</f>
        <v>473.00235516617522</v>
      </c>
      <c r="F37" s="16" t="s">
        <v>65</v>
      </c>
      <c r="G37" s="8" t="str">
        <f t="shared" si="4"/>
        <v>33129.367</v>
      </c>
      <c r="H37" s="9">
        <f t="shared" si="5"/>
        <v>473</v>
      </c>
      <c r="I37" s="44" t="s">
        <v>103</v>
      </c>
      <c r="J37" s="45" t="s">
        <v>104</v>
      </c>
      <c r="K37" s="44">
        <v>473</v>
      </c>
      <c r="L37" s="44" t="s">
        <v>99</v>
      </c>
      <c r="M37" s="45" t="s">
        <v>67</v>
      </c>
      <c r="N37" s="45"/>
      <c r="O37" s="46" t="s">
        <v>72</v>
      </c>
      <c r="P37" s="46" t="s">
        <v>73</v>
      </c>
    </row>
    <row r="38" spans="1:16" ht="12.75" customHeight="1" thickBot="1">
      <c r="A38" s="9" t="str">
        <f t="shared" si="0"/>
        <v> RIA 6.210 </v>
      </c>
      <c r="B38" s="16" t="str">
        <f t="shared" si="1"/>
        <v>I</v>
      </c>
      <c r="C38" s="9">
        <f t="shared" si="2"/>
        <v>33280.224000000002</v>
      </c>
      <c r="D38" s="8" t="str">
        <f t="shared" si="3"/>
        <v>vis</v>
      </c>
      <c r="E38" s="43">
        <f>VLOOKUP(C38,Active!C$21:E$973,3,FALSE)</f>
        <v>591.99589933435072</v>
      </c>
      <c r="F38" s="16" t="s">
        <v>65</v>
      </c>
      <c r="G38" s="8" t="str">
        <f t="shared" si="4"/>
        <v>33280.224</v>
      </c>
      <c r="H38" s="9">
        <f t="shared" si="5"/>
        <v>592</v>
      </c>
      <c r="I38" s="44" t="s">
        <v>105</v>
      </c>
      <c r="J38" s="45" t="s">
        <v>106</v>
      </c>
      <c r="K38" s="44">
        <v>592</v>
      </c>
      <c r="L38" s="44" t="s">
        <v>93</v>
      </c>
      <c r="M38" s="45" t="s">
        <v>71</v>
      </c>
      <c r="N38" s="45"/>
      <c r="O38" s="46" t="s">
        <v>72</v>
      </c>
      <c r="P38" s="46" t="s">
        <v>73</v>
      </c>
    </row>
    <row r="39" spans="1:16" ht="12.75" customHeight="1" thickBot="1">
      <c r="A39" s="9" t="str">
        <f t="shared" si="0"/>
        <v> RIA 6.210 </v>
      </c>
      <c r="B39" s="16" t="str">
        <f t="shared" si="1"/>
        <v>I</v>
      </c>
      <c r="C39" s="9">
        <f t="shared" si="2"/>
        <v>33419.692000000003</v>
      </c>
      <c r="D39" s="8" t="str">
        <f t="shared" si="3"/>
        <v>vis</v>
      </c>
      <c r="E39" s="43">
        <f>VLOOKUP(C39,Active!C$21:E$973,3,FALSE)</f>
        <v>702.00598582716702</v>
      </c>
      <c r="F39" s="16" t="s">
        <v>65</v>
      </c>
      <c r="G39" s="8" t="str">
        <f t="shared" si="4"/>
        <v>33419.692</v>
      </c>
      <c r="H39" s="9">
        <f t="shared" si="5"/>
        <v>702</v>
      </c>
      <c r="I39" s="44" t="s">
        <v>107</v>
      </c>
      <c r="J39" s="45" t="s">
        <v>108</v>
      </c>
      <c r="K39" s="44">
        <v>702</v>
      </c>
      <c r="L39" s="44" t="s">
        <v>109</v>
      </c>
      <c r="M39" s="45" t="s">
        <v>67</v>
      </c>
      <c r="N39" s="45"/>
      <c r="O39" s="46" t="s">
        <v>72</v>
      </c>
      <c r="P39" s="46" t="s">
        <v>73</v>
      </c>
    </row>
    <row r="40" spans="1:16" ht="12.75" customHeight="1" thickBot="1">
      <c r="A40" s="9" t="str">
        <f t="shared" si="0"/>
        <v> RIA 6.210 </v>
      </c>
      <c r="B40" s="16" t="str">
        <f t="shared" si="1"/>
        <v>I</v>
      </c>
      <c r="C40" s="9">
        <f t="shared" si="2"/>
        <v>33541.394</v>
      </c>
      <c r="D40" s="8" t="str">
        <f t="shared" si="3"/>
        <v>vis</v>
      </c>
      <c r="E40" s="43">
        <f>VLOOKUP(C40,Active!C$21:E$973,3,FALSE)</f>
        <v>798.00254092474052</v>
      </c>
      <c r="F40" s="16" t="s">
        <v>65</v>
      </c>
      <c r="G40" s="8" t="str">
        <f t="shared" si="4"/>
        <v>33541.394</v>
      </c>
      <c r="H40" s="9">
        <f t="shared" si="5"/>
        <v>798</v>
      </c>
      <c r="I40" s="44" t="s">
        <v>110</v>
      </c>
      <c r="J40" s="45" t="s">
        <v>111</v>
      </c>
      <c r="K40" s="44">
        <v>798</v>
      </c>
      <c r="L40" s="44" t="s">
        <v>99</v>
      </c>
      <c r="M40" s="45" t="s">
        <v>67</v>
      </c>
      <c r="N40" s="45"/>
      <c r="O40" s="46" t="s">
        <v>72</v>
      </c>
      <c r="P40" s="46" t="s">
        <v>73</v>
      </c>
    </row>
    <row r="41" spans="1:16" ht="12.75" customHeight="1" thickBot="1">
      <c r="A41" s="9" t="str">
        <f t="shared" si="0"/>
        <v> RIA 6.210 </v>
      </c>
      <c r="B41" s="16" t="str">
        <f t="shared" si="1"/>
        <v>I</v>
      </c>
      <c r="C41" s="9">
        <f t="shared" si="2"/>
        <v>33797.481</v>
      </c>
      <c r="D41" s="8" t="str">
        <f t="shared" si="3"/>
        <v>vis</v>
      </c>
      <c r="E41" s="43">
        <f>VLOOKUP(C41,Active!C$21:E$973,3,FALSE)</f>
        <v>999.99979491623412</v>
      </c>
      <c r="F41" s="16" t="s">
        <v>65</v>
      </c>
      <c r="G41" s="8" t="str">
        <f t="shared" si="4"/>
        <v>33797.481</v>
      </c>
      <c r="H41" s="9">
        <f t="shared" si="5"/>
        <v>1000</v>
      </c>
      <c r="I41" s="44" t="s">
        <v>112</v>
      </c>
      <c r="J41" s="45" t="s">
        <v>113</v>
      </c>
      <c r="K41" s="44">
        <v>1000</v>
      </c>
      <c r="L41" s="44" t="s">
        <v>96</v>
      </c>
      <c r="M41" s="45" t="s">
        <v>67</v>
      </c>
      <c r="N41" s="45"/>
      <c r="O41" s="46" t="s">
        <v>72</v>
      </c>
      <c r="P41" s="46" t="s">
        <v>73</v>
      </c>
    </row>
    <row r="42" spans="1:16" ht="12.75" customHeight="1" thickBot="1">
      <c r="A42" s="9" t="str">
        <f t="shared" si="0"/>
        <v> RIA 6.210 </v>
      </c>
      <c r="B42" s="16" t="str">
        <f t="shared" si="1"/>
        <v>I</v>
      </c>
      <c r="C42" s="9">
        <f t="shared" si="2"/>
        <v>34068.786</v>
      </c>
      <c r="D42" s="8" t="str">
        <f t="shared" si="3"/>
        <v>vis</v>
      </c>
      <c r="E42" s="43">
        <f>VLOOKUP(C42,Active!C$21:E$973,3,FALSE)</f>
        <v>1214.0007594094038</v>
      </c>
      <c r="F42" s="16" t="s">
        <v>65</v>
      </c>
      <c r="G42" s="8" t="str">
        <f t="shared" si="4"/>
        <v>34068.786</v>
      </c>
      <c r="H42" s="9">
        <f t="shared" si="5"/>
        <v>1214</v>
      </c>
      <c r="I42" s="44" t="s">
        <v>114</v>
      </c>
      <c r="J42" s="45" t="s">
        <v>115</v>
      </c>
      <c r="K42" s="44">
        <v>1214</v>
      </c>
      <c r="L42" s="44" t="s">
        <v>116</v>
      </c>
      <c r="M42" s="45" t="s">
        <v>67</v>
      </c>
      <c r="N42" s="45"/>
      <c r="O42" s="46" t="s">
        <v>72</v>
      </c>
      <c r="P42" s="46" t="s">
        <v>73</v>
      </c>
    </row>
    <row r="43" spans="1:16" ht="12.75" customHeight="1" thickBot="1">
      <c r="A43" s="9" t="str">
        <f t="shared" ref="A43:A71" si="6">P43</f>
        <v> RIA 6.210 </v>
      </c>
      <c r="B43" s="16" t="str">
        <f t="shared" ref="B43:B71" si="7">IF(H43=INT(H43),"I","II")</f>
        <v>I</v>
      </c>
      <c r="C43" s="9">
        <f t="shared" ref="C43:C71" si="8">1*G43</f>
        <v>34237.402999999998</v>
      </c>
      <c r="D43" s="8" t="str">
        <f t="shared" ref="D43:D71" si="9">VLOOKUP(F43,I$1:J$5,2,FALSE)</f>
        <v>vis</v>
      </c>
      <c r="E43" s="43">
        <f>VLOOKUP(C43,Active!C$21:E$973,3,FALSE)</f>
        <v>1347.0031022705543</v>
      </c>
      <c r="F43" s="16" t="s">
        <v>65</v>
      </c>
      <c r="G43" s="8" t="str">
        <f t="shared" ref="G43:G71" si="10">MID(I43,3,LEN(I43)-3)</f>
        <v>34237.403</v>
      </c>
      <c r="H43" s="9">
        <f t="shared" ref="H43:H71" si="11">1*K43</f>
        <v>1347</v>
      </c>
      <c r="I43" s="44" t="s">
        <v>117</v>
      </c>
      <c r="J43" s="45" t="s">
        <v>118</v>
      </c>
      <c r="K43" s="44">
        <v>1347</v>
      </c>
      <c r="L43" s="44" t="s">
        <v>102</v>
      </c>
      <c r="M43" s="45" t="s">
        <v>67</v>
      </c>
      <c r="N43" s="45"/>
      <c r="O43" s="46" t="s">
        <v>72</v>
      </c>
      <c r="P43" s="46" t="s">
        <v>73</v>
      </c>
    </row>
    <row r="44" spans="1:16" ht="12.75" customHeight="1" thickBot="1">
      <c r="A44" s="9" t="str">
        <f t="shared" si="6"/>
        <v> RIA 6.210 </v>
      </c>
      <c r="B44" s="16" t="str">
        <f t="shared" si="7"/>
        <v>I</v>
      </c>
      <c r="C44" s="9">
        <f t="shared" si="8"/>
        <v>34564.487000000001</v>
      </c>
      <c r="D44" s="8" t="str">
        <f t="shared" si="9"/>
        <v>vis</v>
      </c>
      <c r="E44" s="43">
        <f>VLOOKUP(C44,Active!C$21:E$973,3,FALSE)</f>
        <v>1605.0016333344286</v>
      </c>
      <c r="F44" s="16" t="s">
        <v>65</v>
      </c>
      <c r="G44" s="8" t="str">
        <f t="shared" si="10"/>
        <v>34564.487</v>
      </c>
      <c r="H44" s="9">
        <f t="shared" si="11"/>
        <v>1605</v>
      </c>
      <c r="I44" s="44" t="s">
        <v>119</v>
      </c>
      <c r="J44" s="45" t="s">
        <v>120</v>
      </c>
      <c r="K44" s="44">
        <v>1605</v>
      </c>
      <c r="L44" s="44" t="s">
        <v>121</v>
      </c>
      <c r="M44" s="45" t="s">
        <v>67</v>
      </c>
      <c r="N44" s="45"/>
      <c r="O44" s="46" t="s">
        <v>72</v>
      </c>
      <c r="P44" s="46" t="s">
        <v>73</v>
      </c>
    </row>
    <row r="45" spans="1:16" ht="12.75" customHeight="1" thickBot="1">
      <c r="A45" s="9" t="str">
        <f t="shared" si="6"/>
        <v> RIA 6.210 </v>
      </c>
      <c r="B45" s="16" t="str">
        <f t="shared" si="7"/>
        <v>I</v>
      </c>
      <c r="C45" s="9">
        <f t="shared" si="8"/>
        <v>34681.122000000003</v>
      </c>
      <c r="D45" s="8" t="str">
        <f t="shared" si="9"/>
        <v>vis</v>
      </c>
      <c r="E45" s="43">
        <f>VLOOKUP(C45,Active!C$21:E$973,3,FALSE)</f>
        <v>1697.0014213724714</v>
      </c>
      <c r="F45" s="16" t="s">
        <v>65</v>
      </c>
      <c r="G45" s="8" t="str">
        <f t="shared" si="10"/>
        <v>34681.122</v>
      </c>
      <c r="H45" s="9">
        <f t="shared" si="11"/>
        <v>1697</v>
      </c>
      <c r="I45" s="44" t="s">
        <v>122</v>
      </c>
      <c r="J45" s="45" t="s">
        <v>123</v>
      </c>
      <c r="K45" s="44">
        <v>1697</v>
      </c>
      <c r="L45" s="44" t="s">
        <v>121</v>
      </c>
      <c r="M45" s="45" t="s">
        <v>67</v>
      </c>
      <c r="N45" s="45"/>
      <c r="O45" s="46" t="s">
        <v>72</v>
      </c>
      <c r="P45" s="46" t="s">
        <v>73</v>
      </c>
    </row>
    <row r="46" spans="1:16" ht="12.75" customHeight="1" thickBot="1">
      <c r="A46" s="9" t="str">
        <f t="shared" si="6"/>
        <v> RIA 6.210 </v>
      </c>
      <c r="B46" s="16" t="str">
        <f t="shared" si="7"/>
        <v>I</v>
      </c>
      <c r="C46" s="9">
        <f t="shared" si="8"/>
        <v>34923.267999999996</v>
      </c>
      <c r="D46" s="8" t="str">
        <f t="shared" si="9"/>
        <v>vis</v>
      </c>
      <c r="E46" s="43">
        <f>VLOOKUP(C46,Active!C$21:E$973,3,FALSE)</f>
        <v>1888.0022416601978</v>
      </c>
      <c r="F46" s="16" t="s">
        <v>65</v>
      </c>
      <c r="G46" s="8" t="str">
        <f t="shared" si="10"/>
        <v>34923.268</v>
      </c>
      <c r="H46" s="9">
        <f t="shared" si="11"/>
        <v>1888</v>
      </c>
      <c r="I46" s="44" t="s">
        <v>124</v>
      </c>
      <c r="J46" s="45" t="s">
        <v>125</v>
      </c>
      <c r="K46" s="44">
        <v>1888</v>
      </c>
      <c r="L46" s="44" t="s">
        <v>99</v>
      </c>
      <c r="M46" s="45" t="s">
        <v>67</v>
      </c>
      <c r="N46" s="45"/>
      <c r="O46" s="46" t="s">
        <v>72</v>
      </c>
      <c r="P46" s="46" t="s">
        <v>73</v>
      </c>
    </row>
    <row r="47" spans="1:16" ht="12.75" customHeight="1" thickBot="1">
      <c r="A47" s="9" t="str">
        <f t="shared" si="6"/>
        <v> RIA 6.210 </v>
      </c>
      <c r="B47" s="16" t="str">
        <f t="shared" si="7"/>
        <v>I</v>
      </c>
      <c r="C47" s="9">
        <f t="shared" si="8"/>
        <v>35032.298000000003</v>
      </c>
      <c r="D47" s="8" t="str">
        <f t="shared" si="9"/>
        <v>vis</v>
      </c>
      <c r="E47" s="43">
        <f>VLOOKUP(C47,Active!C$21:E$973,3,FALSE)</f>
        <v>1974.003329582247</v>
      </c>
      <c r="F47" s="16" t="s">
        <v>65</v>
      </c>
      <c r="G47" s="8" t="str">
        <f t="shared" si="10"/>
        <v>35032.298</v>
      </c>
      <c r="H47" s="9">
        <f t="shared" si="11"/>
        <v>1974</v>
      </c>
      <c r="I47" s="44" t="s">
        <v>126</v>
      </c>
      <c r="J47" s="45" t="s">
        <v>127</v>
      </c>
      <c r="K47" s="44">
        <v>1974</v>
      </c>
      <c r="L47" s="44" t="s">
        <v>102</v>
      </c>
      <c r="M47" s="45" t="s">
        <v>67</v>
      </c>
      <c r="N47" s="45"/>
      <c r="O47" s="46" t="s">
        <v>72</v>
      </c>
      <c r="P47" s="46" t="s">
        <v>73</v>
      </c>
    </row>
    <row r="48" spans="1:16" ht="12.75" customHeight="1" thickBot="1">
      <c r="A48" s="9" t="str">
        <f t="shared" si="6"/>
        <v> RIA 6.210 </v>
      </c>
      <c r="B48" s="16" t="str">
        <f t="shared" si="7"/>
        <v>I</v>
      </c>
      <c r="C48" s="9">
        <f t="shared" si="8"/>
        <v>35742.237999999998</v>
      </c>
      <c r="D48" s="8" t="str">
        <f t="shared" si="9"/>
        <v>vis</v>
      </c>
      <c r="E48" s="43">
        <f>VLOOKUP(C48,Active!C$21:E$973,3,FALSE)</f>
        <v>2533.9924367947192</v>
      </c>
      <c r="F48" s="16" t="s">
        <v>65</v>
      </c>
      <c r="G48" s="8" t="str">
        <f t="shared" si="10"/>
        <v>35742.238</v>
      </c>
      <c r="H48" s="9">
        <f t="shared" si="11"/>
        <v>2534</v>
      </c>
      <c r="I48" s="44" t="s">
        <v>128</v>
      </c>
      <c r="J48" s="45" t="s">
        <v>129</v>
      </c>
      <c r="K48" s="44">
        <v>2534</v>
      </c>
      <c r="L48" s="44" t="s">
        <v>130</v>
      </c>
      <c r="M48" s="45" t="s">
        <v>71</v>
      </c>
      <c r="N48" s="45"/>
      <c r="O48" s="46" t="s">
        <v>72</v>
      </c>
      <c r="P48" s="46" t="s">
        <v>73</v>
      </c>
    </row>
    <row r="49" spans="1:16" ht="12.75" customHeight="1" thickBot="1">
      <c r="A49" s="9" t="str">
        <f t="shared" si="6"/>
        <v> RIA 6.210 </v>
      </c>
      <c r="B49" s="16" t="str">
        <f t="shared" si="7"/>
        <v>I</v>
      </c>
      <c r="C49" s="9">
        <f t="shared" si="8"/>
        <v>35989.462</v>
      </c>
      <c r="D49" s="8" t="str">
        <f t="shared" si="9"/>
        <v>vis</v>
      </c>
      <c r="E49" s="43">
        <f>VLOOKUP(C49,Active!C$21:E$973,3,FALSE)</f>
        <v>2728.9987007627983</v>
      </c>
      <c r="F49" s="16" t="s">
        <v>65</v>
      </c>
      <c r="G49" s="8" t="str">
        <f t="shared" si="10"/>
        <v>35989.462</v>
      </c>
      <c r="H49" s="9">
        <f t="shared" si="11"/>
        <v>2729</v>
      </c>
      <c r="I49" s="44" t="s">
        <v>131</v>
      </c>
      <c r="J49" s="45" t="s">
        <v>132</v>
      </c>
      <c r="K49" s="44">
        <v>2729</v>
      </c>
      <c r="L49" s="44" t="s">
        <v>133</v>
      </c>
      <c r="M49" s="45" t="s">
        <v>67</v>
      </c>
      <c r="N49" s="45"/>
      <c r="O49" s="46" t="s">
        <v>72</v>
      </c>
      <c r="P49" s="46" t="s">
        <v>73</v>
      </c>
    </row>
    <row r="50" spans="1:16" ht="12.75" customHeight="1" thickBot="1">
      <c r="A50" s="9" t="str">
        <f t="shared" si="6"/>
        <v> MVS 12.51 </v>
      </c>
      <c r="B50" s="16" t="str">
        <f t="shared" si="7"/>
        <v>I</v>
      </c>
      <c r="C50" s="9">
        <f t="shared" si="8"/>
        <v>44847.409</v>
      </c>
      <c r="D50" s="8" t="str">
        <f t="shared" si="9"/>
        <v>vis</v>
      </c>
      <c r="E50" s="43">
        <f>VLOOKUP(C50,Active!C$21:E$973,3,FALSE)</f>
        <v>9716.003000091514</v>
      </c>
      <c r="F50" s="16" t="s">
        <v>65</v>
      </c>
      <c r="G50" s="8" t="str">
        <f t="shared" si="10"/>
        <v>44847.409</v>
      </c>
      <c r="H50" s="9">
        <f t="shared" si="11"/>
        <v>9716</v>
      </c>
      <c r="I50" s="44" t="s">
        <v>134</v>
      </c>
      <c r="J50" s="45" t="s">
        <v>135</v>
      </c>
      <c r="K50" s="44">
        <v>9716</v>
      </c>
      <c r="L50" s="44" t="s">
        <v>102</v>
      </c>
      <c r="M50" s="45" t="s">
        <v>71</v>
      </c>
      <c r="N50" s="45"/>
      <c r="O50" s="46" t="s">
        <v>136</v>
      </c>
      <c r="P50" s="46" t="s">
        <v>137</v>
      </c>
    </row>
    <row r="51" spans="1:16" ht="12.75" customHeight="1" thickBot="1">
      <c r="A51" s="9" t="str">
        <f t="shared" si="6"/>
        <v> MVS 12.51 </v>
      </c>
      <c r="B51" s="16" t="str">
        <f t="shared" si="7"/>
        <v>I</v>
      </c>
      <c r="C51" s="9">
        <f t="shared" si="8"/>
        <v>45562.430999999997</v>
      </c>
      <c r="D51" s="8" t="str">
        <f t="shared" si="9"/>
        <v>vis</v>
      </c>
      <c r="E51" s="43">
        <f>VLOOKUP(C51,Active!C$21:E$973,3,FALSE)</f>
        <v>10280.000706119174</v>
      </c>
      <c r="F51" s="16" t="s">
        <v>65</v>
      </c>
      <c r="G51" s="8" t="str">
        <f t="shared" si="10"/>
        <v>45562.431</v>
      </c>
      <c r="H51" s="9">
        <f t="shared" si="11"/>
        <v>10280</v>
      </c>
      <c r="I51" s="44" t="s">
        <v>138</v>
      </c>
      <c r="J51" s="45" t="s">
        <v>139</v>
      </c>
      <c r="K51" s="44">
        <v>10280</v>
      </c>
      <c r="L51" s="44" t="s">
        <v>116</v>
      </c>
      <c r="M51" s="45" t="s">
        <v>71</v>
      </c>
      <c r="N51" s="45"/>
      <c r="O51" s="46" t="s">
        <v>136</v>
      </c>
      <c r="P51" s="46" t="s">
        <v>137</v>
      </c>
    </row>
    <row r="52" spans="1:16" ht="12.75" customHeight="1" thickBot="1">
      <c r="A52" s="9" t="str">
        <f t="shared" si="6"/>
        <v> MVS 12.51 </v>
      </c>
      <c r="B52" s="16" t="str">
        <f t="shared" si="7"/>
        <v>I</v>
      </c>
      <c r="C52" s="9">
        <f t="shared" si="8"/>
        <v>45903.464999999997</v>
      </c>
      <c r="D52" s="8" t="str">
        <f t="shared" si="9"/>
        <v>vis</v>
      </c>
      <c r="E52" s="43">
        <f>VLOOKUP(C52,Active!C$21:E$973,3,FALSE)</f>
        <v>10549.0027699402</v>
      </c>
      <c r="F52" s="16" t="s">
        <v>65</v>
      </c>
      <c r="G52" s="8" t="str">
        <f t="shared" si="10"/>
        <v>45903.465</v>
      </c>
      <c r="H52" s="9">
        <f t="shared" si="11"/>
        <v>10549</v>
      </c>
      <c r="I52" s="44" t="s">
        <v>140</v>
      </c>
      <c r="J52" s="45" t="s">
        <v>141</v>
      </c>
      <c r="K52" s="44">
        <v>10549</v>
      </c>
      <c r="L52" s="44" t="s">
        <v>102</v>
      </c>
      <c r="M52" s="45" t="s">
        <v>71</v>
      </c>
      <c r="N52" s="45"/>
      <c r="O52" s="46" t="s">
        <v>136</v>
      </c>
      <c r="P52" s="46" t="s">
        <v>137</v>
      </c>
    </row>
    <row r="53" spans="1:16" ht="12.75" customHeight="1" thickBot="1">
      <c r="A53" s="9" t="str">
        <f t="shared" si="6"/>
        <v> BRNO 28 </v>
      </c>
      <c r="B53" s="16" t="str">
        <f t="shared" si="7"/>
        <v>I</v>
      </c>
      <c r="C53" s="9">
        <f t="shared" si="8"/>
        <v>46717.328000000001</v>
      </c>
      <c r="D53" s="8" t="str">
        <f t="shared" si="9"/>
        <v>vis</v>
      </c>
      <c r="E53" s="43">
        <f>VLOOKUP(C53,Active!C$21:E$973,3,FALSE)</f>
        <v>11190.964646666784</v>
      </c>
      <c r="F53" s="16" t="s">
        <v>65</v>
      </c>
      <c r="G53" s="8" t="str">
        <f t="shared" si="10"/>
        <v>46717.328</v>
      </c>
      <c r="H53" s="9">
        <f t="shared" si="11"/>
        <v>11191</v>
      </c>
      <c r="I53" s="44" t="s">
        <v>142</v>
      </c>
      <c r="J53" s="45" t="s">
        <v>143</v>
      </c>
      <c r="K53" s="44">
        <v>11191</v>
      </c>
      <c r="L53" s="44" t="s">
        <v>144</v>
      </c>
      <c r="M53" s="45" t="s">
        <v>145</v>
      </c>
      <c r="N53" s="45"/>
      <c r="O53" s="46" t="s">
        <v>146</v>
      </c>
      <c r="P53" s="46" t="s">
        <v>147</v>
      </c>
    </row>
    <row r="54" spans="1:16" ht="12.75" customHeight="1" thickBot="1">
      <c r="A54" s="9" t="str">
        <f t="shared" si="6"/>
        <v> BRNO 28 </v>
      </c>
      <c r="B54" s="16" t="str">
        <f t="shared" si="7"/>
        <v>I</v>
      </c>
      <c r="C54" s="9">
        <f t="shared" si="8"/>
        <v>46717.328000000001</v>
      </c>
      <c r="D54" s="8" t="str">
        <f t="shared" si="9"/>
        <v>vis</v>
      </c>
      <c r="E54" s="43">
        <f>VLOOKUP(C54,Active!C$21:E$973,3,FALSE)</f>
        <v>11190.964646666784</v>
      </c>
      <c r="F54" s="16" t="s">
        <v>65</v>
      </c>
      <c r="G54" s="8" t="str">
        <f t="shared" si="10"/>
        <v>46717.328</v>
      </c>
      <c r="H54" s="9">
        <f t="shared" si="11"/>
        <v>11191</v>
      </c>
      <c r="I54" s="44" t="s">
        <v>142</v>
      </c>
      <c r="J54" s="45" t="s">
        <v>143</v>
      </c>
      <c r="K54" s="44">
        <v>11191</v>
      </c>
      <c r="L54" s="44" t="s">
        <v>144</v>
      </c>
      <c r="M54" s="45" t="s">
        <v>145</v>
      </c>
      <c r="N54" s="45"/>
      <c r="O54" s="46" t="s">
        <v>148</v>
      </c>
      <c r="P54" s="46" t="s">
        <v>147</v>
      </c>
    </row>
    <row r="55" spans="1:16" ht="12.75" customHeight="1" thickBot="1">
      <c r="A55" s="9" t="str">
        <f t="shared" si="6"/>
        <v> BRNO 30 </v>
      </c>
      <c r="B55" s="16" t="str">
        <f t="shared" si="7"/>
        <v>I</v>
      </c>
      <c r="C55" s="9">
        <f t="shared" si="8"/>
        <v>46997.472000000002</v>
      </c>
      <c r="D55" s="8" t="str">
        <f t="shared" si="9"/>
        <v>vis</v>
      </c>
      <c r="E55" s="43">
        <f>VLOOKUP(C55,Active!C$21:E$973,3,FALSE)</f>
        <v>11411.937670374324</v>
      </c>
      <c r="F55" s="16" t="s">
        <v>65</v>
      </c>
      <c r="G55" s="8" t="str">
        <f t="shared" si="10"/>
        <v>46997.472</v>
      </c>
      <c r="H55" s="9">
        <f t="shared" si="11"/>
        <v>11412</v>
      </c>
      <c r="I55" s="44" t="s">
        <v>149</v>
      </c>
      <c r="J55" s="45" t="s">
        <v>150</v>
      </c>
      <c r="K55" s="44">
        <v>11412</v>
      </c>
      <c r="L55" s="44" t="s">
        <v>151</v>
      </c>
      <c r="M55" s="45" t="s">
        <v>145</v>
      </c>
      <c r="N55" s="45"/>
      <c r="O55" s="46" t="s">
        <v>152</v>
      </c>
      <c r="P55" s="46" t="s">
        <v>153</v>
      </c>
    </row>
    <row r="56" spans="1:16" ht="12.75" customHeight="1" thickBot="1">
      <c r="A56" s="9" t="str">
        <f t="shared" si="6"/>
        <v> BRNO 30 </v>
      </c>
      <c r="B56" s="16" t="str">
        <f t="shared" si="7"/>
        <v>I</v>
      </c>
      <c r="C56" s="9">
        <f t="shared" si="8"/>
        <v>46997.482000000004</v>
      </c>
      <c r="D56" s="8" t="str">
        <f t="shared" si="9"/>
        <v>vis</v>
      </c>
      <c r="E56" s="43">
        <f>VLOOKUP(C56,Active!C$21:E$973,3,FALSE)</f>
        <v>11411.945558211428</v>
      </c>
      <c r="F56" s="16" t="s">
        <v>65</v>
      </c>
      <c r="G56" s="8" t="str">
        <f t="shared" si="10"/>
        <v>46997.482</v>
      </c>
      <c r="H56" s="9">
        <f t="shared" si="11"/>
        <v>11412</v>
      </c>
      <c r="I56" s="44" t="s">
        <v>154</v>
      </c>
      <c r="J56" s="45" t="s">
        <v>155</v>
      </c>
      <c r="K56" s="44">
        <v>11412</v>
      </c>
      <c r="L56" s="44" t="s">
        <v>156</v>
      </c>
      <c r="M56" s="45" t="s">
        <v>145</v>
      </c>
      <c r="N56" s="45"/>
      <c r="O56" s="46" t="s">
        <v>148</v>
      </c>
      <c r="P56" s="46" t="s">
        <v>153</v>
      </c>
    </row>
    <row r="57" spans="1:16" ht="12.75" customHeight="1" thickBot="1">
      <c r="A57" s="9" t="str">
        <f t="shared" si="6"/>
        <v> BRNO 30 </v>
      </c>
      <c r="B57" s="16" t="str">
        <f t="shared" si="7"/>
        <v>I</v>
      </c>
      <c r="C57" s="9">
        <f t="shared" si="8"/>
        <v>46997.483</v>
      </c>
      <c r="D57" s="8" t="str">
        <f t="shared" si="9"/>
        <v>vis</v>
      </c>
      <c r="E57" s="43">
        <f>VLOOKUP(C57,Active!C$21:E$973,3,FALSE)</f>
        <v>11411.946346995135</v>
      </c>
      <c r="F57" s="16" t="s">
        <v>65</v>
      </c>
      <c r="G57" s="8" t="str">
        <f t="shared" si="10"/>
        <v>46997.483</v>
      </c>
      <c r="H57" s="9">
        <f t="shared" si="11"/>
        <v>11412</v>
      </c>
      <c r="I57" s="44" t="s">
        <v>157</v>
      </c>
      <c r="J57" s="45" t="s">
        <v>158</v>
      </c>
      <c r="K57" s="44">
        <v>11412</v>
      </c>
      <c r="L57" s="44" t="s">
        <v>159</v>
      </c>
      <c r="M57" s="45" t="s">
        <v>145</v>
      </c>
      <c r="N57" s="45"/>
      <c r="O57" s="46" t="s">
        <v>146</v>
      </c>
      <c r="P57" s="46" t="s">
        <v>153</v>
      </c>
    </row>
    <row r="58" spans="1:16" ht="12.75" customHeight="1" thickBot="1">
      <c r="A58" s="9" t="str">
        <f t="shared" si="6"/>
        <v> BRNO 30 </v>
      </c>
      <c r="B58" s="16" t="str">
        <f t="shared" si="7"/>
        <v>I</v>
      </c>
      <c r="C58" s="9">
        <f t="shared" si="8"/>
        <v>47030.447</v>
      </c>
      <c r="D58" s="8" t="str">
        <f t="shared" si="9"/>
        <v>vis</v>
      </c>
      <c r="E58" s="43">
        <f>VLOOKUP(C58,Active!C$21:E$973,3,FALSE)</f>
        <v>11437.947813217846</v>
      </c>
      <c r="F58" s="16" t="s">
        <v>65</v>
      </c>
      <c r="G58" s="8" t="str">
        <f t="shared" si="10"/>
        <v>47030.447</v>
      </c>
      <c r="H58" s="9">
        <f t="shared" si="11"/>
        <v>11438</v>
      </c>
      <c r="I58" s="44" t="s">
        <v>160</v>
      </c>
      <c r="J58" s="45" t="s">
        <v>161</v>
      </c>
      <c r="K58" s="44">
        <v>11438</v>
      </c>
      <c r="L58" s="44" t="s">
        <v>162</v>
      </c>
      <c r="M58" s="45" t="s">
        <v>145</v>
      </c>
      <c r="N58" s="45"/>
      <c r="O58" s="46" t="s">
        <v>163</v>
      </c>
      <c r="P58" s="46" t="s">
        <v>153</v>
      </c>
    </row>
    <row r="59" spans="1:16" ht="12.75" customHeight="1" thickBot="1">
      <c r="A59" s="9" t="str">
        <f t="shared" si="6"/>
        <v> BRNO 30 </v>
      </c>
      <c r="B59" s="16" t="str">
        <f t="shared" si="7"/>
        <v>I</v>
      </c>
      <c r="C59" s="9">
        <f t="shared" si="8"/>
        <v>47030.451999999997</v>
      </c>
      <c r="D59" s="8" t="str">
        <f t="shared" si="9"/>
        <v>vis</v>
      </c>
      <c r="E59" s="43">
        <f>VLOOKUP(C59,Active!C$21:E$973,3,FALSE)</f>
        <v>11437.951757136396</v>
      </c>
      <c r="F59" s="16" t="s">
        <v>65</v>
      </c>
      <c r="G59" s="8" t="str">
        <f t="shared" si="10"/>
        <v>47030.452</v>
      </c>
      <c r="H59" s="9">
        <f t="shared" si="11"/>
        <v>11438</v>
      </c>
      <c r="I59" s="44" t="s">
        <v>164</v>
      </c>
      <c r="J59" s="45" t="s">
        <v>165</v>
      </c>
      <c r="K59" s="44">
        <v>11438</v>
      </c>
      <c r="L59" s="44" t="s">
        <v>166</v>
      </c>
      <c r="M59" s="45" t="s">
        <v>145</v>
      </c>
      <c r="N59" s="45"/>
      <c r="O59" s="46" t="s">
        <v>146</v>
      </c>
      <c r="P59" s="46" t="s">
        <v>153</v>
      </c>
    </row>
    <row r="60" spans="1:16" ht="12.75" customHeight="1" thickBot="1">
      <c r="A60" s="9" t="str">
        <f t="shared" si="6"/>
        <v> BRNO 30 </v>
      </c>
      <c r="B60" s="16" t="str">
        <f t="shared" si="7"/>
        <v>I</v>
      </c>
      <c r="C60" s="9">
        <f t="shared" si="8"/>
        <v>47030.457000000002</v>
      </c>
      <c r="D60" s="8" t="str">
        <f t="shared" si="9"/>
        <v>vis</v>
      </c>
      <c r="E60" s="43">
        <f>VLOOKUP(C60,Active!C$21:E$973,3,FALSE)</f>
        <v>11437.955701054951</v>
      </c>
      <c r="F60" s="16" t="s">
        <v>65</v>
      </c>
      <c r="G60" s="8" t="str">
        <f t="shared" si="10"/>
        <v>47030.457</v>
      </c>
      <c r="H60" s="9">
        <f t="shared" si="11"/>
        <v>11438</v>
      </c>
      <c r="I60" s="44" t="s">
        <v>167</v>
      </c>
      <c r="J60" s="45" t="s">
        <v>168</v>
      </c>
      <c r="K60" s="44">
        <v>11438</v>
      </c>
      <c r="L60" s="44" t="s">
        <v>169</v>
      </c>
      <c r="M60" s="45" t="s">
        <v>145</v>
      </c>
      <c r="N60" s="45"/>
      <c r="O60" s="46" t="s">
        <v>152</v>
      </c>
      <c r="P60" s="46" t="s">
        <v>153</v>
      </c>
    </row>
    <row r="61" spans="1:16" ht="12.75" customHeight="1" thickBot="1">
      <c r="A61" s="9" t="str">
        <f t="shared" si="6"/>
        <v> BRNO 30 </v>
      </c>
      <c r="B61" s="16" t="str">
        <f t="shared" si="7"/>
        <v>I</v>
      </c>
      <c r="C61" s="9">
        <f t="shared" si="8"/>
        <v>47030.459000000003</v>
      </c>
      <c r="D61" s="8" t="str">
        <f t="shared" si="9"/>
        <v>vis</v>
      </c>
      <c r="E61" s="43">
        <f>VLOOKUP(C61,Active!C$21:E$973,3,FALSE)</f>
        <v>11437.957278622371</v>
      </c>
      <c r="F61" s="16" t="s">
        <v>65</v>
      </c>
      <c r="G61" s="8" t="str">
        <f t="shared" si="10"/>
        <v>47030.459</v>
      </c>
      <c r="H61" s="9">
        <f t="shared" si="11"/>
        <v>11438</v>
      </c>
      <c r="I61" s="44" t="s">
        <v>170</v>
      </c>
      <c r="J61" s="45" t="s">
        <v>171</v>
      </c>
      <c r="K61" s="44">
        <v>11438</v>
      </c>
      <c r="L61" s="44" t="s">
        <v>172</v>
      </c>
      <c r="M61" s="45" t="s">
        <v>145</v>
      </c>
      <c r="N61" s="45"/>
      <c r="O61" s="46" t="s">
        <v>173</v>
      </c>
      <c r="P61" s="46" t="s">
        <v>153</v>
      </c>
    </row>
    <row r="62" spans="1:16" ht="12.75" customHeight="1" thickBot="1">
      <c r="A62" s="9" t="str">
        <f t="shared" si="6"/>
        <v>BAVM 56 </v>
      </c>
      <c r="B62" s="16" t="str">
        <f t="shared" si="7"/>
        <v>I</v>
      </c>
      <c r="C62" s="9">
        <f t="shared" si="8"/>
        <v>47669.413999999997</v>
      </c>
      <c r="D62" s="8" t="str">
        <f t="shared" si="9"/>
        <v>vis</v>
      </c>
      <c r="E62" s="43">
        <f>VLOOKUP(C62,Active!C$21:E$973,3,FALSE)</f>
        <v>11941.954574166986</v>
      </c>
      <c r="F62" s="16" t="s">
        <v>65</v>
      </c>
      <c r="G62" s="8" t="str">
        <f t="shared" si="10"/>
        <v>47669.414</v>
      </c>
      <c r="H62" s="9">
        <f t="shared" si="11"/>
        <v>11942</v>
      </c>
      <c r="I62" s="44" t="s">
        <v>174</v>
      </c>
      <c r="J62" s="45" t="s">
        <v>175</v>
      </c>
      <c r="K62" s="44">
        <v>11942</v>
      </c>
      <c r="L62" s="44" t="s">
        <v>176</v>
      </c>
      <c r="M62" s="45" t="s">
        <v>67</v>
      </c>
      <c r="N62" s="45"/>
      <c r="O62" s="46" t="s">
        <v>177</v>
      </c>
      <c r="P62" s="47" t="s">
        <v>178</v>
      </c>
    </row>
    <row r="63" spans="1:16" ht="12.75" customHeight="1" thickBot="1">
      <c r="A63" s="9" t="str">
        <f t="shared" si="6"/>
        <v> BRNO 31 </v>
      </c>
      <c r="B63" s="16" t="str">
        <f t="shared" si="7"/>
        <v>I</v>
      </c>
      <c r="C63" s="9">
        <f t="shared" si="8"/>
        <v>48119.468999999997</v>
      </c>
      <c r="D63" s="8" t="str">
        <f t="shared" si="9"/>
        <v>vis</v>
      </c>
      <c r="E63" s="43">
        <f>VLOOKUP(C63,Active!C$21:E$973,3,FALSE)</f>
        <v>12296.950626856666</v>
      </c>
      <c r="F63" s="16" t="s">
        <v>65</v>
      </c>
      <c r="G63" s="8" t="str">
        <f t="shared" si="10"/>
        <v>48119.469</v>
      </c>
      <c r="H63" s="9">
        <f t="shared" si="11"/>
        <v>12297</v>
      </c>
      <c r="I63" s="44" t="s">
        <v>184</v>
      </c>
      <c r="J63" s="45" t="s">
        <v>185</v>
      </c>
      <c r="K63" s="44">
        <v>12297</v>
      </c>
      <c r="L63" s="44" t="s">
        <v>186</v>
      </c>
      <c r="M63" s="45" t="s">
        <v>145</v>
      </c>
      <c r="N63" s="45"/>
      <c r="O63" s="46" t="s">
        <v>187</v>
      </c>
      <c r="P63" s="46" t="s">
        <v>188</v>
      </c>
    </row>
    <row r="64" spans="1:16" ht="12.75" customHeight="1" thickBot="1">
      <c r="A64" s="9" t="str">
        <f t="shared" si="6"/>
        <v>BAVM 79 </v>
      </c>
      <c r="B64" s="16" t="str">
        <f t="shared" si="7"/>
        <v>I</v>
      </c>
      <c r="C64" s="9">
        <f t="shared" si="8"/>
        <v>48498.527999999998</v>
      </c>
      <c r="D64" s="8" t="str">
        <f t="shared" si="9"/>
        <v>vis</v>
      </c>
      <c r="E64" s="43">
        <f>VLOOKUP(C64,Active!C$21:E$973,3,FALSE)</f>
        <v>12595.946191257679</v>
      </c>
      <c r="F64" s="16" t="s">
        <v>65</v>
      </c>
      <c r="G64" s="8" t="str">
        <f t="shared" si="10"/>
        <v>48498.528</v>
      </c>
      <c r="H64" s="9">
        <f t="shared" si="11"/>
        <v>12596</v>
      </c>
      <c r="I64" s="44" t="s">
        <v>192</v>
      </c>
      <c r="J64" s="45" t="s">
        <v>193</v>
      </c>
      <c r="K64" s="44">
        <v>12596</v>
      </c>
      <c r="L64" s="44" t="s">
        <v>159</v>
      </c>
      <c r="M64" s="45" t="s">
        <v>67</v>
      </c>
      <c r="N64" s="45"/>
      <c r="O64" s="46" t="s">
        <v>177</v>
      </c>
      <c r="P64" s="47" t="s">
        <v>194</v>
      </c>
    </row>
    <row r="65" spans="1:16" ht="12.75" customHeight="1" thickBot="1">
      <c r="A65" s="9" t="str">
        <f t="shared" si="6"/>
        <v>BAVM 68 </v>
      </c>
      <c r="B65" s="16" t="str">
        <f t="shared" si="7"/>
        <v>I</v>
      </c>
      <c r="C65" s="9">
        <f t="shared" si="8"/>
        <v>49118.454899999997</v>
      </c>
      <c r="D65" s="8" t="str">
        <f t="shared" si="9"/>
        <v>vis</v>
      </c>
      <c r="E65" s="43">
        <f>VLOOKUP(C65,Active!C$21:E$973,3,FALSE)</f>
        <v>13084.934431486425</v>
      </c>
      <c r="F65" s="16" t="s">
        <v>65</v>
      </c>
      <c r="G65" s="8" t="str">
        <f t="shared" si="10"/>
        <v>49118.4549</v>
      </c>
      <c r="H65" s="9">
        <f t="shared" si="11"/>
        <v>13085</v>
      </c>
      <c r="I65" s="44" t="s">
        <v>207</v>
      </c>
      <c r="J65" s="45" t="s">
        <v>208</v>
      </c>
      <c r="K65" s="44">
        <v>13085</v>
      </c>
      <c r="L65" s="44" t="s">
        <v>209</v>
      </c>
      <c r="M65" s="45" t="s">
        <v>210</v>
      </c>
      <c r="N65" s="45" t="s">
        <v>211</v>
      </c>
      <c r="O65" s="46" t="s">
        <v>212</v>
      </c>
      <c r="P65" s="47" t="s">
        <v>213</v>
      </c>
    </row>
    <row r="66" spans="1:16" ht="12.75" customHeight="1" thickBot="1">
      <c r="A66" s="9" t="str">
        <f t="shared" si="6"/>
        <v>BAVM 68 </v>
      </c>
      <c r="B66" s="16" t="str">
        <f t="shared" si="7"/>
        <v>I</v>
      </c>
      <c r="C66" s="9">
        <f t="shared" si="8"/>
        <v>49321.29</v>
      </c>
      <c r="D66" s="8" t="str">
        <f t="shared" si="9"/>
        <v>vis</v>
      </c>
      <c r="E66" s="43">
        <f>VLOOKUP(C66,Active!C$21:E$973,3,FALSE)</f>
        <v>13244.927454221242</v>
      </c>
      <c r="F66" s="16" t="s">
        <v>65</v>
      </c>
      <c r="G66" s="8" t="str">
        <f t="shared" si="10"/>
        <v>49321.29</v>
      </c>
      <c r="H66" s="9">
        <f t="shared" si="11"/>
        <v>13245</v>
      </c>
      <c r="I66" s="44" t="s">
        <v>214</v>
      </c>
      <c r="J66" s="45" t="s">
        <v>215</v>
      </c>
      <c r="K66" s="44">
        <v>13245</v>
      </c>
      <c r="L66" s="44" t="s">
        <v>216</v>
      </c>
      <c r="M66" s="45" t="s">
        <v>210</v>
      </c>
      <c r="N66" s="45" t="s">
        <v>211</v>
      </c>
      <c r="O66" s="46" t="s">
        <v>212</v>
      </c>
      <c r="P66" s="47" t="s">
        <v>213</v>
      </c>
    </row>
    <row r="67" spans="1:16" ht="12.75" customHeight="1" thickBot="1">
      <c r="A67" s="9" t="str">
        <f t="shared" si="6"/>
        <v> BRNO 32 </v>
      </c>
      <c r="B67" s="16" t="str">
        <f t="shared" si="7"/>
        <v>I</v>
      </c>
      <c r="C67" s="9">
        <f t="shared" si="8"/>
        <v>50671.474099999999</v>
      </c>
      <c r="D67" s="8" t="str">
        <f t="shared" si="9"/>
        <v>vis</v>
      </c>
      <c r="E67" s="43">
        <f>VLOOKUP(C67,Active!C$21:E$973,3,FALSE)</f>
        <v>14309.930678059143</v>
      </c>
      <c r="F67" s="16" t="s">
        <v>65</v>
      </c>
      <c r="G67" s="8" t="str">
        <f t="shared" si="10"/>
        <v>50671.4741</v>
      </c>
      <c r="H67" s="9">
        <f t="shared" si="11"/>
        <v>14310</v>
      </c>
      <c r="I67" s="44" t="s">
        <v>225</v>
      </c>
      <c r="J67" s="45" t="s">
        <v>226</v>
      </c>
      <c r="K67" s="44">
        <v>14310</v>
      </c>
      <c r="L67" s="44" t="s">
        <v>227</v>
      </c>
      <c r="M67" s="45" t="s">
        <v>145</v>
      </c>
      <c r="N67" s="45"/>
      <c r="O67" s="46" t="s">
        <v>228</v>
      </c>
      <c r="P67" s="46" t="s">
        <v>229</v>
      </c>
    </row>
    <row r="68" spans="1:16" ht="12.75" customHeight="1" thickBot="1">
      <c r="A68" s="9" t="str">
        <f t="shared" si="6"/>
        <v> BRNO 32 </v>
      </c>
      <c r="B68" s="16" t="str">
        <f t="shared" si="7"/>
        <v>I</v>
      </c>
      <c r="C68" s="9">
        <f t="shared" si="8"/>
        <v>51012.495999999999</v>
      </c>
      <c r="D68" s="8" t="str">
        <f t="shared" si="9"/>
        <v>vis</v>
      </c>
      <c r="E68" s="43">
        <f>VLOOKUP(C68,Active!C$21:E$973,3,FALSE)</f>
        <v>14578.923197597276</v>
      </c>
      <c r="F68" s="16" t="s">
        <v>65</v>
      </c>
      <c r="G68" s="8" t="str">
        <f t="shared" si="10"/>
        <v>51012.4960</v>
      </c>
      <c r="H68" s="9">
        <f t="shared" si="11"/>
        <v>14579</v>
      </c>
      <c r="I68" s="44" t="s">
        <v>230</v>
      </c>
      <c r="J68" s="45" t="s">
        <v>231</v>
      </c>
      <c r="K68" s="44">
        <v>14579</v>
      </c>
      <c r="L68" s="44" t="s">
        <v>232</v>
      </c>
      <c r="M68" s="45" t="s">
        <v>145</v>
      </c>
      <c r="N68" s="45"/>
      <c r="O68" s="46" t="s">
        <v>233</v>
      </c>
      <c r="P68" s="46" t="s">
        <v>229</v>
      </c>
    </row>
    <row r="69" spans="1:16" ht="12.75" customHeight="1" thickBot="1">
      <c r="A69" s="9" t="str">
        <f t="shared" si="6"/>
        <v>IBVS 5809 </v>
      </c>
      <c r="B69" s="16" t="str">
        <f t="shared" si="7"/>
        <v>I</v>
      </c>
      <c r="C69" s="9">
        <f t="shared" si="8"/>
        <v>52613.6636</v>
      </c>
      <c r="D69" s="8" t="str">
        <f t="shared" si="9"/>
        <v>vis</v>
      </c>
      <c r="E69" s="43">
        <f>VLOOKUP(C69,Active!C$21:E$973,3,FALSE)</f>
        <v>15841.898117761715</v>
      </c>
      <c r="F69" s="16" t="s">
        <v>65</v>
      </c>
      <c r="G69" s="8" t="str">
        <f t="shared" si="10"/>
        <v>52613.6636</v>
      </c>
      <c r="H69" s="9">
        <f t="shared" si="11"/>
        <v>15842</v>
      </c>
      <c r="I69" s="44" t="s">
        <v>239</v>
      </c>
      <c r="J69" s="45" t="s">
        <v>240</v>
      </c>
      <c r="K69" s="44">
        <v>15842</v>
      </c>
      <c r="L69" s="44" t="s">
        <v>241</v>
      </c>
      <c r="M69" s="45" t="s">
        <v>242</v>
      </c>
      <c r="N69" s="45" t="s">
        <v>65</v>
      </c>
      <c r="O69" s="46" t="s">
        <v>243</v>
      </c>
      <c r="P69" s="47" t="s">
        <v>244</v>
      </c>
    </row>
    <row r="70" spans="1:16" ht="12.75" customHeight="1" thickBot="1">
      <c r="A70" s="9" t="str">
        <f t="shared" si="6"/>
        <v>IBVS 5809 </v>
      </c>
      <c r="B70" s="16" t="str">
        <f t="shared" si="7"/>
        <v>I</v>
      </c>
      <c r="C70" s="9">
        <f t="shared" si="8"/>
        <v>52616.190799999997</v>
      </c>
      <c r="D70" s="8" t="str">
        <f t="shared" si="9"/>
        <v>vis</v>
      </c>
      <c r="E70" s="43">
        <f>VLOOKUP(C70,Active!C$21:E$973,3,FALSE)</f>
        <v>15843.891531954107</v>
      </c>
      <c r="F70" s="16" t="s">
        <v>65</v>
      </c>
      <c r="G70" s="8" t="str">
        <f t="shared" si="10"/>
        <v>52616.1908</v>
      </c>
      <c r="H70" s="9">
        <f t="shared" si="11"/>
        <v>15844</v>
      </c>
      <c r="I70" s="44" t="s">
        <v>245</v>
      </c>
      <c r="J70" s="45" t="s">
        <v>246</v>
      </c>
      <c r="K70" s="44">
        <v>15844</v>
      </c>
      <c r="L70" s="44" t="s">
        <v>247</v>
      </c>
      <c r="M70" s="45" t="s">
        <v>242</v>
      </c>
      <c r="N70" s="45" t="s">
        <v>65</v>
      </c>
      <c r="O70" s="46" t="s">
        <v>243</v>
      </c>
      <c r="P70" s="47" t="s">
        <v>244</v>
      </c>
    </row>
    <row r="71" spans="1:16" ht="12.75" customHeight="1" thickBot="1">
      <c r="A71" s="9" t="str">
        <f t="shared" si="6"/>
        <v>IBVS 5741 </v>
      </c>
      <c r="B71" s="16" t="str">
        <f t="shared" si="7"/>
        <v>I</v>
      </c>
      <c r="C71" s="9">
        <f t="shared" si="8"/>
        <v>53256.417999999998</v>
      </c>
      <c r="D71" s="8" t="str">
        <f t="shared" si="9"/>
        <v>vis</v>
      </c>
      <c r="E71" s="43">
        <f>VLOOKUP(C71,Active!C$21:E$973,3,FALSE)</f>
        <v>16348.892318134831</v>
      </c>
      <c r="F71" s="16" t="s">
        <v>65</v>
      </c>
      <c r="G71" s="8" t="str">
        <f t="shared" si="10"/>
        <v>53256.4180</v>
      </c>
      <c r="H71" s="9">
        <f t="shared" si="11"/>
        <v>16349</v>
      </c>
      <c r="I71" s="44" t="s">
        <v>253</v>
      </c>
      <c r="J71" s="45" t="s">
        <v>254</v>
      </c>
      <c r="K71" s="44">
        <v>16349</v>
      </c>
      <c r="L71" s="44" t="s">
        <v>255</v>
      </c>
      <c r="M71" s="45" t="s">
        <v>210</v>
      </c>
      <c r="N71" s="45" t="s">
        <v>237</v>
      </c>
      <c r="O71" s="46" t="s">
        <v>256</v>
      </c>
      <c r="P71" s="47" t="s">
        <v>257</v>
      </c>
    </row>
    <row r="72" spans="1:16">
      <c r="B72" s="16"/>
      <c r="F72" s="16"/>
    </row>
    <row r="73" spans="1:16">
      <c r="B73" s="16"/>
      <c r="F73" s="16"/>
    </row>
    <row r="74" spans="1:16">
      <c r="B74" s="16"/>
      <c r="F74" s="16"/>
    </row>
    <row r="75" spans="1:16">
      <c r="B75" s="16"/>
      <c r="F75" s="16"/>
    </row>
    <row r="76" spans="1:16">
      <c r="B76" s="16"/>
      <c r="F76" s="16"/>
    </row>
    <row r="77" spans="1:16">
      <c r="B77" s="16"/>
      <c r="F77" s="16"/>
    </row>
    <row r="78" spans="1:16">
      <c r="B78" s="16"/>
      <c r="F78" s="16"/>
    </row>
    <row r="79" spans="1:16">
      <c r="B79" s="16"/>
      <c r="F79" s="16"/>
    </row>
    <row r="80" spans="1:1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</sheetData>
  <phoneticPr fontId="7" type="noConversion"/>
  <hyperlinks>
    <hyperlink ref="P62" r:id="rId1" display="http://www.bav-astro.de/sfs/BAVM_link.php?BAVMnr=56"/>
    <hyperlink ref="P64" r:id="rId2" display="http://www.bav-astro.de/sfs/BAVM_link.php?BAVMnr=79"/>
    <hyperlink ref="P65" r:id="rId3" display="http://www.bav-astro.de/sfs/BAVM_link.php?BAVMnr=68"/>
    <hyperlink ref="P66" r:id="rId4" display="http://www.bav-astro.de/sfs/BAVM_link.php?BAVMnr=68"/>
    <hyperlink ref="P18" r:id="rId5" display="http://www.konkoly.hu/cgi-bin/IBVS?5583"/>
    <hyperlink ref="P69" r:id="rId6" display="http://www.konkoly.hu/cgi-bin/IBVS?5809"/>
    <hyperlink ref="P70" r:id="rId7" display="http://www.konkoly.hu/cgi-bin/IBVS?5809"/>
    <hyperlink ref="P19" r:id="rId8" display="http://www.bav-astro.de/sfs/BAVM_link.php?BAVMnr=172"/>
    <hyperlink ref="P71" r:id="rId9" display="http://www.konkoly.hu/cgi-bin/IBVS?5741"/>
    <hyperlink ref="P20" r:id="rId10" display="http://var.astro.cz/oejv/issues/oejv0003.pdf"/>
    <hyperlink ref="P21" r:id="rId11" display="http://www.konkoly.hu/cgi-bin/IBVS?5713"/>
    <hyperlink ref="P22" r:id="rId12" display="http://var.astro.cz/oejv/issues/oejv0003.pdf"/>
    <hyperlink ref="P23" r:id="rId13" display="http://www.bav-astro.de/sfs/BAVM_link.php?BAVMnr=178"/>
    <hyperlink ref="P24" r:id="rId14" display="http://www.konkoly.hu/cgi-bin/IBVS?5713"/>
    <hyperlink ref="P25" r:id="rId15" display="http://www.bav-astro.de/sfs/BAVM_link.php?BAVMnr=215"/>
    <hyperlink ref="P26" r:id="rId16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2024-01-31T05:22:22Z</dcterms:modified>
</cp:coreProperties>
</file>