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D02CBDA-2AC9-4DB4-80BB-0982905F759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6" i="1" l="1"/>
  <c r="F17" i="1" s="1"/>
  <c r="D9" i="1"/>
  <c r="C9" i="1"/>
  <c r="Q22" i="1"/>
  <c r="G13" i="2"/>
  <c r="C13" i="2"/>
  <c r="G12" i="2"/>
  <c r="C12" i="2"/>
  <c r="G11" i="2"/>
  <c r="C11" i="2"/>
  <c r="H13" i="2"/>
  <c r="D13" i="2"/>
  <c r="B13" i="2"/>
  <c r="A13" i="2"/>
  <c r="H12" i="2"/>
  <c r="D12" i="2"/>
  <c r="B12" i="2"/>
  <c r="A12" i="2"/>
  <c r="H11" i="2"/>
  <c r="D11" i="2"/>
  <c r="B11" i="2"/>
  <c r="A11" i="2"/>
  <c r="Q24" i="1"/>
  <c r="C7" i="1"/>
  <c r="E21" i="1"/>
  <c r="F21" i="1"/>
  <c r="Q23" i="1"/>
  <c r="C8" i="1"/>
  <c r="C17" i="1"/>
  <c r="Q21" i="1"/>
  <c r="E12" i="2"/>
  <c r="E13" i="2"/>
  <c r="E23" i="1"/>
  <c r="F23" i="1"/>
  <c r="E22" i="1"/>
  <c r="F22" i="1"/>
  <c r="G22" i="1"/>
  <c r="K22" i="1"/>
  <c r="G21" i="1"/>
  <c r="E24" i="1"/>
  <c r="F24" i="1"/>
  <c r="G24" i="1"/>
  <c r="J24" i="1"/>
  <c r="G23" i="1"/>
  <c r="J23" i="1"/>
  <c r="H21" i="1"/>
  <c r="E11" i="2"/>
  <c r="C11" i="1"/>
  <c r="C12" i="1"/>
  <c r="C16" i="1" l="1"/>
  <c r="D18" i="1" s="1"/>
  <c r="O23" i="1"/>
  <c r="O24" i="1"/>
  <c r="O21" i="1"/>
  <c r="O22" i="1"/>
  <c r="C15" i="1"/>
  <c r="C18" i="1" l="1"/>
  <c r="F18" i="1"/>
  <c r="F19" i="1" s="1"/>
</calcChain>
</file>

<file path=xl/sharedStrings.xml><?xml version="1.0" encoding="utf-8"?>
<sst xmlns="http://schemas.openxmlformats.org/spreadsheetml/2006/main" count="87" uniqueCount="75">
  <si>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</si>
  <si>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</si>
  <si>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</si>
  <si>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</si>
  <si>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</si>
  <si>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</si>
  <si>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</si>
  <si>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</si>
  <si>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</si>
  <si>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</si>
  <si>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</si>
  <si>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</si>
  <si>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</si>
  <si>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</si>
  <si>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</si>
  <si>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</si>
  <si>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</si>
  <si>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</si>
  <si>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</si>
  <si>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</si>
  <si>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</si>
  <si>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</si>
  <si>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</si>
  <si>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</si>
  <si>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</si>
  <si>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</si>
  <si>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</si>
  <si>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S6</t>
  </si>
  <si>
    <t>Misc</t>
  </si>
  <si>
    <t># of data points:</t>
  </si>
  <si>
    <t>EB/KE</t>
  </si>
  <si>
    <t>IBVS 5731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</si>
  <si>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</si>
  <si>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</si>
  <si>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</si>
  <si>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</si>
  <si>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</si>
  <si>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</si>
  <si>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</si>
  <si>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</si>
  <si>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</si>
  <si>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</si>
  <si>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</si>
  <si>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</si>
  <si>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2453256.3889 </t>
  </si>
  <si>
    <t> 07.09.2004 21:20 </t>
  </si>
  <si>
    <t> 0.0425 </t>
  </si>
  <si>
    <t>E </t>
  </si>
  <si>
    <t>?</t>
  </si>
  <si>
    <t> M. Zejda et al. </t>
  </si>
  <si>
    <t>IBVS 5741 </t>
  </si>
  <si>
    <t>2453613.4446 </t>
  </si>
  <si>
    <t> 30.08.2005 22:40 </t>
  </si>
  <si>
    <t> 0.0393 </t>
  </si>
  <si>
    <t>C </t>
  </si>
  <si>
    <t>-I</t>
  </si>
  <si>
    <t> F. Agerer </t>
  </si>
  <si>
    <t>BAVM 178 </t>
  </si>
  <si>
    <t>2455429.4884 </t>
  </si>
  <si>
    <t> 20.08.2010 23:43 </t>
  </si>
  <si>
    <t>15547.5</t>
  </si>
  <si>
    <t> 0.0527 </t>
  </si>
  <si>
    <t> F.Agerer </t>
  </si>
  <si>
    <t>BAVM 215 </t>
  </si>
  <si>
    <t>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</si>
  <si>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</si>
  <si>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</si>
  <si>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</si>
  <si>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</si>
  <si>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</si>
  <si>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</si>
  <si>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</si>
  <si>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</si>
  <si>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IBVS 5741</t>
  </si>
  <si>
    <t>V0870 Cyg / 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</si>
</sst>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3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2" borderId="13" xfId="0" applyFont="1" applyFill="1" applyBorder="1" applyAlignment="1">
      <alignment horizontal="left" vertical="top" wrapText="1" inden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right" vertical="top" wrapText="1"/>
    </xf>
    <xf numFmtId="0" fontId="13" fillId="2" borderId="13" xfId="7" applyFill="1" applyBorder="1" applyAlignment="1" applyProtection="1">
      <alignment horizontal="right" vertical="top" wrapText="1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17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8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V0870 Cyg - O-C Diagr.</a:t>
            </a:r>
          </a:p>
        </c:rich>
      </c:tx>
      <c:layout>
        <c:manualLayout>
          <c:xMode val="edge"/>
          <c:yMode val="edge"/>
          <c:x val="0.3634898384067096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0937058998462585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13886</c:v>
                </c:pt>
                <c:pt idx="2">
                  <c:v>14159</c:v>
                </c:pt>
                <c:pt idx="3">
                  <c:v>15547.5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83-499B-970D-6A2BAFA9DC6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5.4999999999999997E-3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5.4999999999999997E-3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13886</c:v>
                </c:pt>
                <c:pt idx="2">
                  <c:v>14159</c:v>
                </c:pt>
                <c:pt idx="3">
                  <c:v>15547.5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83-499B-970D-6A2BAFA9DC6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5.4999999999999997E-3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5.4999999999999997E-3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13886</c:v>
                </c:pt>
                <c:pt idx="2">
                  <c:v>14159</c:v>
                </c:pt>
                <c:pt idx="3">
                  <c:v>15547.5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3.9312100008828565E-2</c:v>
                </c:pt>
                <c:pt idx="3">
                  <c:v>5.2715249999891967E-2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83-499B-970D-6A2BAFA9DC6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5.4999999999999997E-3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5.4999999999999997E-3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13886</c:v>
                </c:pt>
                <c:pt idx="2">
                  <c:v>14159</c:v>
                </c:pt>
                <c:pt idx="3">
                  <c:v>15547.5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4.2523399999481626E-2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83-499B-970D-6A2BAFA9DC6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5.4999999999999997E-3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5.4999999999999997E-3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13886</c:v>
                </c:pt>
                <c:pt idx="2">
                  <c:v>14159</c:v>
                </c:pt>
                <c:pt idx="3">
                  <c:v>15547.5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83-499B-970D-6A2BAFA9DC6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5.4999999999999997E-3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5.4999999999999997E-3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13886</c:v>
                </c:pt>
                <c:pt idx="2">
                  <c:v>14159</c:v>
                </c:pt>
                <c:pt idx="3">
                  <c:v>15547.5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83-499B-970D-6A2BAFA9DC6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5.4999999999999997E-3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5.4999999999999997E-3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13886</c:v>
                </c:pt>
                <c:pt idx="2">
                  <c:v>14159</c:v>
                </c:pt>
                <c:pt idx="3">
                  <c:v>15547.5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83-499B-970D-6A2BAFA9DC6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13886</c:v>
                </c:pt>
                <c:pt idx="2">
                  <c:v>14159</c:v>
                </c:pt>
                <c:pt idx="3">
                  <c:v>15547.5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-4.5346682191401561E-4</c:v>
                </c:pt>
                <c:pt idx="1">
                  <c:v>4.2984259295429268E-2</c:v>
                </c:pt>
                <c:pt idx="2">
                  <c:v>4.3838248869823238E-2</c:v>
                </c:pt>
                <c:pt idx="3">
                  <c:v>4.8181708664863654E-2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83-499B-970D-6A2BAFA9D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786128"/>
        <c:axId val="1"/>
      </c:scatterChart>
      <c:valAx>
        <c:axId val="886786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786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55590466377487"/>
          <c:y val="0.92024539877300615"/>
          <c:w val="0.6752832228766234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180975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97D3EB2-6211-8BBD-5AF6-07072B376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konkoly.hu/cgi-bin/IBVS?57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74</v>
      </c>
    </row>
    <row r="2" spans="1:6" x14ac:dyDescent="0.2">
      <c r="A2" t="s">
        <v>25</v>
      </c>
      <c r="B2" t="s">
        <v>30</v>
      </c>
      <c r="C2" s="6"/>
      <c r="D2" s="6"/>
    </row>
    <row r="3" spans="1:6" ht="13.5" thickBot="1" x14ac:dyDescent="0.25"/>
    <row r="4" spans="1:6" ht="13.5" thickBot="1" x14ac:dyDescent="0.25">
      <c r="A4" s="8" t="s">
        <v>0</v>
      </c>
      <c r="C4" s="14">
        <v>35094.734499999999</v>
      </c>
      <c r="D4" s="15">
        <v>1.3079080999999999</v>
      </c>
    </row>
    <row r="5" spans="1:6" x14ac:dyDescent="0.2">
      <c r="A5" s="39" t="s">
        <v>65</v>
      </c>
      <c r="B5" s="23"/>
      <c r="C5" s="40">
        <v>-9.5</v>
      </c>
      <c r="D5" s="23" t="s">
        <v>66</v>
      </c>
    </row>
    <row r="6" spans="1:6" x14ac:dyDescent="0.2">
      <c r="A6" s="8" t="s">
        <v>1</v>
      </c>
    </row>
    <row r="7" spans="1:6" x14ac:dyDescent="0.2">
      <c r="A7" t="s">
        <v>2</v>
      </c>
      <c r="C7">
        <f>+C4</f>
        <v>35094.734499999999</v>
      </c>
    </row>
    <row r="8" spans="1:6" x14ac:dyDescent="0.2">
      <c r="A8" t="s">
        <v>3</v>
      </c>
      <c r="C8">
        <f>+D4</f>
        <v>1.3079080999999999</v>
      </c>
    </row>
    <row r="9" spans="1:6" x14ac:dyDescent="0.2">
      <c r="A9" s="41" t="s">
        <v>67</v>
      </c>
      <c r="B9" s="42">
        <v>21</v>
      </c>
      <c r="C9" s="43" t="str">
        <f>"F"&amp;B9</f>
        <v>F21</v>
      </c>
      <c r="D9" s="44" t="str">
        <f>"G"&amp;B9</f>
        <v>G21</v>
      </c>
    </row>
    <row r="10" spans="1:6" ht="13.5" thickBot="1" x14ac:dyDescent="0.25">
      <c r="C10" s="7" t="s">
        <v>20</v>
      </c>
      <c r="D10" s="7" t="s">
        <v>21</v>
      </c>
    </row>
    <row r="11" spans="1:6" x14ac:dyDescent="0.2">
      <c r="A11" t="s">
        <v>16</v>
      </c>
      <c r="C11" s="45">
        <f ca="1">INTERCEPT(INDIRECT($D$9):G978,INDIRECT($C$9):F978)</f>
        <v>-4.5346682191401561E-4</v>
      </c>
      <c r="D11" s="6"/>
    </row>
    <row r="12" spans="1:6" x14ac:dyDescent="0.2">
      <c r="A12" t="s">
        <v>17</v>
      </c>
      <c r="C12" s="45">
        <f ca="1">SLOPE(INDIRECT($D$9):G978,INDIRECT($C$9):F978)</f>
        <v>3.1281669391720642E-6</v>
      </c>
      <c r="D12" s="6"/>
    </row>
    <row r="13" spans="1:6" x14ac:dyDescent="0.2">
      <c r="A13" t="s">
        <v>19</v>
      </c>
      <c r="C13" s="6" t="s">
        <v>14</v>
      </c>
      <c r="D13" s="6"/>
    </row>
    <row r="14" spans="1:6" x14ac:dyDescent="0.2">
      <c r="A14" t="s">
        <v>24</v>
      </c>
    </row>
    <row r="15" spans="1:6" x14ac:dyDescent="0.2">
      <c r="A15" s="3" t="s">
        <v>18</v>
      </c>
      <c r="C15" s="11">
        <f ca="1">($C$7+C$11)+($C$8+C$12)*INT(MAX($F21:$F3533))</f>
        <v>55428.829910844579</v>
      </c>
      <c r="E15" s="46" t="s">
        <v>68</v>
      </c>
      <c r="F15" s="40">
        <v>1</v>
      </c>
    </row>
    <row r="16" spans="1:6" x14ac:dyDescent="0.2">
      <c r="A16" s="8" t="s">
        <v>4</v>
      </c>
      <c r="C16" s="12">
        <f ca="1">+$C$8+C$12</f>
        <v>1.3079112281669392</v>
      </c>
      <c r="E16" s="46" t="s">
        <v>69</v>
      </c>
      <c r="F16" s="47">
        <f ca="1">NOW()+15018.5+$C$5/24</f>
        <v>60342.697349421294</v>
      </c>
    </row>
    <row r="17" spans="1:17" ht="13.5" thickBot="1" x14ac:dyDescent="0.25">
      <c r="A17" s="13" t="s">
        <v>29</v>
      </c>
      <c r="C17">
        <f>COUNT(C21:C2191)</f>
        <v>4</v>
      </c>
      <c r="E17" s="46" t="s">
        <v>70</v>
      </c>
      <c r="F17" s="47">
        <f ca="1">ROUND(2*(F16-$C$7)/$C$8,0)/2+F15</f>
        <v>19305</v>
      </c>
    </row>
    <row r="18" spans="1:17" ht="14.25" thickTop="1" thickBot="1" x14ac:dyDescent="0.25">
      <c r="A18" s="8" t="s">
        <v>5</v>
      </c>
      <c r="C18" s="4">
        <f ca="1">+C15</f>
        <v>55428.829910844579</v>
      </c>
      <c r="D18" s="5">
        <f ca="1">+C16</f>
        <v>1.3079112281669392</v>
      </c>
      <c r="E18" s="46" t="s">
        <v>71</v>
      </c>
      <c r="F18" s="44">
        <f ca="1">ROUND(2*(F16-$C$15)/$C$16,0)/2+F15</f>
        <v>3758</v>
      </c>
    </row>
    <row r="19" spans="1:17" ht="13.5" thickTop="1" x14ac:dyDescent="0.2">
      <c r="E19" s="46" t="s">
        <v>72</v>
      </c>
      <c r="F19" s="48">
        <f ca="1">+$C$15+$C$16*F18-15018.5-$C$5/24</f>
        <v>45325.856139629272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40</v>
      </c>
      <c r="I20" s="10" t="s">
        <v>43</v>
      </c>
      <c r="J20" s="10" t="s">
        <v>37</v>
      </c>
      <c r="K20" s="10" t="s">
        <v>35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17" x14ac:dyDescent="0.2">
      <c r="A21" t="s">
        <v>12</v>
      </c>
      <c r="C21" s="19">
        <v>35094.734499999999</v>
      </c>
      <c r="D21" s="19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-4.5346682191401561E-4</v>
      </c>
      <c r="Q21" s="2">
        <f>+C21-15018.5</f>
        <v>20076.234499999999</v>
      </c>
    </row>
    <row r="22" spans="1:17" x14ac:dyDescent="0.2">
      <c r="A22" s="36" t="s">
        <v>73</v>
      </c>
      <c r="B22" s="38" t="s">
        <v>64</v>
      </c>
      <c r="C22" s="37">
        <v>53256.388899999998</v>
      </c>
      <c r="D22" s="37" t="s">
        <v>43</v>
      </c>
      <c r="E22">
        <f>+(C22-C$7)/C$8</f>
        <v>13886.032512528976</v>
      </c>
      <c r="F22">
        <f>ROUND(2*E22,0)/2</f>
        <v>13886</v>
      </c>
      <c r="G22">
        <f>+C22-(C$7+F22*C$8)</f>
        <v>4.2523399999481626E-2</v>
      </c>
      <c r="K22">
        <f>+G22</f>
        <v>4.2523399999481626E-2</v>
      </c>
      <c r="O22">
        <f ca="1">+C$11+C$12*$F22</f>
        <v>4.2984259295429268E-2</v>
      </c>
      <c r="Q22" s="2">
        <f>+C22-15018.5</f>
        <v>38237.888899999998</v>
      </c>
    </row>
    <row r="23" spans="1:17" x14ac:dyDescent="0.2">
      <c r="A23" s="16" t="s">
        <v>31</v>
      </c>
      <c r="B23" s="17"/>
      <c r="C23" s="18">
        <v>53613.444600000003</v>
      </c>
      <c r="D23" s="18">
        <v>1.1999999999999999E-3</v>
      </c>
      <c r="E23">
        <f>+(C23-C$7)/C$8</f>
        <v>14159.030057234148</v>
      </c>
      <c r="F23">
        <f>ROUND(2*E23,0)/2</f>
        <v>14159</v>
      </c>
      <c r="G23">
        <f>+C23-(C$7+F23*C$8)</f>
        <v>3.9312100008828565E-2</v>
      </c>
      <c r="J23">
        <f>+G23</f>
        <v>3.9312100008828565E-2</v>
      </c>
      <c r="O23">
        <f ca="1">+C$11+C$12*$F23</f>
        <v>4.3838248869823238E-2</v>
      </c>
      <c r="Q23" s="2">
        <f>+C23-15018.5</f>
        <v>38594.944600000003</v>
      </c>
    </row>
    <row r="24" spans="1:17" x14ac:dyDescent="0.2">
      <c r="A24" s="20" t="s">
        <v>32</v>
      </c>
      <c r="B24" s="20"/>
      <c r="C24" s="21">
        <v>55429.488400000002</v>
      </c>
      <c r="D24" s="21">
        <v>5.4999999999999997E-3</v>
      </c>
      <c r="E24">
        <f>+(C24-C$7)/C$8</f>
        <v>15547.540305010731</v>
      </c>
      <c r="F24">
        <f>ROUND(2*E24,0)/2</f>
        <v>15547.5</v>
      </c>
      <c r="G24">
        <f>+C24-(C$7+F24*C$8)</f>
        <v>5.2715249999891967E-2</v>
      </c>
      <c r="J24">
        <f>+G24</f>
        <v>5.2715249999891967E-2</v>
      </c>
      <c r="O24">
        <f ca="1">+C$11+C$12*$F24</f>
        <v>4.8181708664863654E-2</v>
      </c>
      <c r="Q24" s="2">
        <f>+C24-15018.5</f>
        <v>40410.988400000002</v>
      </c>
    </row>
    <row r="25" spans="1:17" x14ac:dyDescent="0.2">
      <c r="C25" s="19"/>
      <c r="D25" s="19"/>
      <c r="Q25" s="2"/>
    </row>
    <row r="26" spans="1:17" x14ac:dyDescent="0.2">
      <c r="C26" s="19"/>
      <c r="D26" s="19"/>
      <c r="Q26" s="2"/>
    </row>
    <row r="27" spans="1:17" x14ac:dyDescent="0.2">
      <c r="C27" s="19"/>
      <c r="D27" s="19"/>
      <c r="Q27" s="2"/>
    </row>
    <row r="28" spans="1:17" x14ac:dyDescent="0.2">
      <c r="C28" s="19"/>
      <c r="D28" s="19"/>
      <c r="Q28" s="2"/>
    </row>
    <row r="29" spans="1:17" x14ac:dyDescent="0.2">
      <c r="C29" s="19"/>
      <c r="D29" s="19"/>
      <c r="Q29" s="2"/>
    </row>
    <row r="30" spans="1:17" x14ac:dyDescent="0.2">
      <c r="C30" s="19"/>
      <c r="D30" s="19"/>
      <c r="Q30" s="2"/>
    </row>
    <row r="31" spans="1:17" x14ac:dyDescent="0.2">
      <c r="C31" s="19"/>
      <c r="D31" s="19"/>
      <c r="Q31" s="2"/>
    </row>
    <row r="32" spans="1:17" x14ac:dyDescent="0.2">
      <c r="C32" s="19"/>
      <c r="D32" s="19"/>
      <c r="Q32" s="2"/>
    </row>
    <row r="33" spans="3:17" x14ac:dyDescent="0.2">
      <c r="C33" s="19"/>
      <c r="D33" s="19"/>
      <c r="Q33" s="2"/>
    </row>
    <row r="34" spans="3:17" x14ac:dyDescent="0.2">
      <c r="C34" s="19"/>
      <c r="D34" s="19"/>
    </row>
    <row r="35" spans="3:17" x14ac:dyDescent="0.2">
      <c r="C35" s="19"/>
      <c r="D35" s="19"/>
    </row>
    <row r="36" spans="3:17" x14ac:dyDescent="0.2">
      <c r="C36" s="19"/>
      <c r="D36" s="19"/>
    </row>
    <row r="37" spans="3:17" x14ac:dyDescent="0.2">
      <c r="C37" s="19"/>
      <c r="D37" s="19"/>
    </row>
    <row r="38" spans="3:17" x14ac:dyDescent="0.2">
      <c r="C38" s="19"/>
      <c r="D38" s="19"/>
    </row>
    <row r="39" spans="3:17" x14ac:dyDescent="0.2">
      <c r="C39" s="19"/>
      <c r="D39" s="19"/>
    </row>
    <row r="40" spans="3:17" x14ac:dyDescent="0.2">
      <c r="C40" s="19"/>
      <c r="D40" s="19"/>
    </row>
    <row r="41" spans="3:17" x14ac:dyDescent="0.2">
      <c r="C41" s="19"/>
      <c r="D41" s="19"/>
    </row>
    <row r="42" spans="3:17" x14ac:dyDescent="0.2">
      <c r="C42" s="19"/>
      <c r="D42" s="19"/>
    </row>
    <row r="43" spans="3:17" x14ac:dyDescent="0.2">
      <c r="C43" s="19"/>
      <c r="D43" s="19"/>
    </row>
    <row r="44" spans="3:17" x14ac:dyDescent="0.2">
      <c r="C44" s="19"/>
      <c r="D44" s="19"/>
    </row>
    <row r="45" spans="3:17" x14ac:dyDescent="0.2">
      <c r="C45" s="19"/>
      <c r="D45" s="19"/>
    </row>
    <row r="46" spans="3:17" x14ac:dyDescent="0.2">
      <c r="C46" s="19"/>
      <c r="D46" s="19"/>
    </row>
    <row r="47" spans="3:17" x14ac:dyDescent="0.2">
      <c r="C47" s="19"/>
      <c r="D47" s="19"/>
    </row>
    <row r="48" spans="3:17" x14ac:dyDescent="0.2">
      <c r="C48" s="19"/>
      <c r="D48" s="19"/>
    </row>
    <row r="49" spans="3:4" x14ac:dyDescent="0.2">
      <c r="C49" s="19"/>
      <c r="D49" s="19"/>
    </row>
    <row r="50" spans="3:4" x14ac:dyDescent="0.2">
      <c r="C50" s="19"/>
      <c r="D50" s="19"/>
    </row>
    <row r="51" spans="3:4" x14ac:dyDescent="0.2">
      <c r="D51" s="6"/>
    </row>
    <row r="52" spans="3:4" x14ac:dyDescent="0.2">
      <c r="D52" s="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6"/>
  <sheetViews>
    <sheetView workbookViewId="0">
      <selection activeCell="A11" sqref="A11:D11"/>
    </sheetView>
  </sheetViews>
  <sheetFormatPr defaultRowHeight="12.75" x14ac:dyDescent="0.2"/>
  <cols>
    <col min="1" max="1" width="19.7109375" style="19" customWidth="1"/>
    <col min="2" max="2" width="4.42578125" style="23" customWidth="1"/>
    <col min="3" max="3" width="12.7109375" style="19" customWidth="1"/>
    <col min="4" max="4" width="5.42578125" style="23" customWidth="1"/>
    <col min="5" max="5" width="14.85546875" style="23" customWidth="1"/>
    <col min="6" max="6" width="9.140625" style="23"/>
    <col min="7" max="7" width="12" style="23" customWidth="1"/>
    <col min="8" max="8" width="14.140625" style="19" customWidth="1"/>
    <col min="9" max="9" width="22.5703125" style="23" customWidth="1"/>
    <col min="10" max="10" width="25.140625" style="23" customWidth="1"/>
    <col min="11" max="11" width="15.7109375" style="23" customWidth="1"/>
    <col min="12" max="12" width="14.140625" style="23" customWidth="1"/>
    <col min="13" max="13" width="9.5703125" style="23" customWidth="1"/>
    <col min="14" max="14" width="14.140625" style="23" customWidth="1"/>
    <col min="15" max="15" width="23.42578125" style="23" customWidth="1"/>
    <col min="16" max="16" width="16.5703125" style="23" customWidth="1"/>
    <col min="17" max="17" width="41" style="23" customWidth="1"/>
    <col min="18" max="16384" width="9.140625" style="23"/>
  </cols>
  <sheetData>
    <row r="1" spans="1:16" ht="15.75" x14ac:dyDescent="0.25">
      <c r="A1" s="22" t="s">
        <v>33</v>
      </c>
      <c r="I1" s="24" t="s">
        <v>34</v>
      </c>
      <c r="J1" s="25" t="s">
        <v>35</v>
      </c>
    </row>
    <row r="2" spans="1:16" x14ac:dyDescent="0.2">
      <c r="I2" s="26" t="s">
        <v>36</v>
      </c>
      <c r="J2" s="27" t="s">
        <v>37</v>
      </c>
    </row>
    <row r="3" spans="1:16" x14ac:dyDescent="0.2">
      <c r="A3" s="28" t="s">
        <v>38</v>
      </c>
      <c r="I3" s="26" t="s">
        <v>39</v>
      </c>
      <c r="J3" s="27" t="s">
        <v>40</v>
      </c>
    </row>
    <row r="4" spans="1:16" x14ac:dyDescent="0.2">
      <c r="I4" s="26" t="s">
        <v>41</v>
      </c>
      <c r="J4" s="27" t="s">
        <v>40</v>
      </c>
    </row>
    <row r="5" spans="1:16" ht="13.5" thickBot="1" x14ac:dyDescent="0.25">
      <c r="I5" s="29" t="s">
        <v>42</v>
      </c>
      <c r="J5" s="30" t="s">
        <v>43</v>
      </c>
    </row>
    <row r="10" spans="1:16" ht="13.5" thickBot="1" x14ac:dyDescent="0.25"/>
    <row r="11" spans="1:16" ht="12.75" customHeight="1" thickBot="1" x14ac:dyDescent="0.25">
      <c r="A11" s="19" t="str">
        <f>P11</f>
        <v>IBVS 5741 </v>
      </c>
      <c r="B11" s="6" t="str">
        <f>IF(H11=INT(H11),"I","II")</f>
        <v>I</v>
      </c>
      <c r="C11" s="19">
        <f>1*G11</f>
        <v>53256.388899999998</v>
      </c>
      <c r="D11" s="23" t="str">
        <f>VLOOKUP(F11,I$1:J$5,2,FALSE)</f>
        <v>vis</v>
      </c>
      <c r="E11" s="31">
        <f>VLOOKUP(C11,Active!C$21:E$973,3,FALSE)</f>
        <v>13886.032512528976</v>
      </c>
      <c r="F11" s="6" t="s">
        <v>42</v>
      </c>
      <c r="G11" s="23" t="str">
        <f>MID(I11,3,LEN(I11)-3)</f>
        <v>53256.3889</v>
      </c>
      <c r="H11" s="19">
        <f>1*K11</f>
        <v>13886</v>
      </c>
      <c r="I11" s="32" t="s">
        <v>44</v>
      </c>
      <c r="J11" s="33" t="s">
        <v>45</v>
      </c>
      <c r="K11" s="32">
        <v>13886</v>
      </c>
      <c r="L11" s="32" t="s">
        <v>46</v>
      </c>
      <c r="M11" s="33" t="s">
        <v>47</v>
      </c>
      <c r="N11" s="33" t="s">
        <v>48</v>
      </c>
      <c r="O11" s="34" t="s">
        <v>49</v>
      </c>
      <c r="P11" s="35" t="s">
        <v>50</v>
      </c>
    </row>
    <row r="12" spans="1:16" ht="12.75" customHeight="1" thickBot="1" x14ac:dyDescent="0.25">
      <c r="A12" s="19" t="str">
        <f>P12</f>
        <v>BAVM 178 </v>
      </c>
      <c r="B12" s="6" t="str">
        <f>IF(H12=INT(H12),"I","II")</f>
        <v>I</v>
      </c>
      <c r="C12" s="19">
        <f>1*G12</f>
        <v>53613.444600000003</v>
      </c>
      <c r="D12" s="23" t="str">
        <f>VLOOKUP(F12,I$1:J$5,2,FALSE)</f>
        <v>vis</v>
      </c>
      <c r="E12" s="31">
        <f>VLOOKUP(C12,Active!C$21:E$973,3,FALSE)</f>
        <v>14159.030057234148</v>
      </c>
      <c r="F12" s="6" t="s">
        <v>42</v>
      </c>
      <c r="G12" s="23" t="str">
        <f>MID(I12,3,LEN(I12)-3)</f>
        <v>53613.4446</v>
      </c>
      <c r="H12" s="19">
        <f>1*K12</f>
        <v>14159</v>
      </c>
      <c r="I12" s="32" t="s">
        <v>51</v>
      </c>
      <c r="J12" s="33" t="s">
        <v>52</v>
      </c>
      <c r="K12" s="32">
        <v>14159</v>
      </c>
      <c r="L12" s="32" t="s">
        <v>53</v>
      </c>
      <c r="M12" s="33" t="s">
        <v>54</v>
      </c>
      <c r="N12" s="33" t="s">
        <v>55</v>
      </c>
      <c r="O12" s="34" t="s">
        <v>56</v>
      </c>
      <c r="P12" s="35" t="s">
        <v>57</v>
      </c>
    </row>
    <row r="13" spans="1:16" ht="12.75" customHeight="1" thickBot="1" x14ac:dyDescent="0.25">
      <c r="A13" s="19" t="str">
        <f>P13</f>
        <v>BAVM 215 </v>
      </c>
      <c r="B13" s="6" t="str">
        <f>IF(H13=INT(H13),"I","II")</f>
        <v>II</v>
      </c>
      <c r="C13" s="19">
        <f>1*G13</f>
        <v>55429.488400000002</v>
      </c>
      <c r="D13" s="23" t="str">
        <f>VLOOKUP(F13,I$1:J$5,2,FALSE)</f>
        <v>vis</v>
      </c>
      <c r="E13" s="31">
        <f>VLOOKUP(C13,Active!C$21:E$973,3,FALSE)</f>
        <v>15547.540305010731</v>
      </c>
      <c r="F13" s="6" t="s">
        <v>42</v>
      </c>
      <c r="G13" s="23" t="str">
        <f>MID(I13,3,LEN(I13)-3)</f>
        <v>55429.4884</v>
      </c>
      <c r="H13" s="19">
        <f>1*K13</f>
        <v>15547.5</v>
      </c>
      <c r="I13" s="32" t="s">
        <v>58</v>
      </c>
      <c r="J13" s="33" t="s">
        <v>59</v>
      </c>
      <c r="K13" s="32" t="s">
        <v>60</v>
      </c>
      <c r="L13" s="32" t="s">
        <v>61</v>
      </c>
      <c r="M13" s="33" t="s">
        <v>54</v>
      </c>
      <c r="N13" s="33" t="s">
        <v>55</v>
      </c>
      <c r="O13" s="34" t="s">
        <v>62</v>
      </c>
      <c r="P13" s="35" t="s">
        <v>63</v>
      </c>
    </row>
    <row r="14" spans="1:16" x14ac:dyDescent="0.2">
      <c r="B14" s="6"/>
      <c r="E14" s="31"/>
      <c r="F14" s="6"/>
    </row>
    <row r="15" spans="1:16" x14ac:dyDescent="0.2">
      <c r="B15" s="6"/>
      <c r="E15" s="31"/>
      <c r="F15" s="6"/>
    </row>
    <row r="16" spans="1:16" x14ac:dyDescent="0.2">
      <c r="B16" s="6"/>
      <c r="E16" s="31"/>
      <c r="F16" s="6"/>
    </row>
    <row r="17" spans="2:6" x14ac:dyDescent="0.2">
      <c r="B17" s="6"/>
      <c r="E17" s="31"/>
      <c r="F17" s="6"/>
    </row>
    <row r="18" spans="2:6" x14ac:dyDescent="0.2">
      <c r="B18" s="6"/>
      <c r="E18" s="31"/>
      <c r="F18" s="6"/>
    </row>
    <row r="19" spans="2:6" x14ac:dyDescent="0.2">
      <c r="B19" s="6"/>
      <c r="E19" s="31"/>
      <c r="F19" s="6"/>
    </row>
    <row r="20" spans="2:6" x14ac:dyDescent="0.2">
      <c r="B20" s="6"/>
      <c r="E20" s="31"/>
      <c r="F20" s="6"/>
    </row>
    <row r="21" spans="2:6" x14ac:dyDescent="0.2">
      <c r="B21" s="6"/>
      <c r="E21" s="31"/>
      <c r="F21" s="6"/>
    </row>
    <row r="22" spans="2:6" x14ac:dyDescent="0.2">
      <c r="B22" s="6"/>
      <c r="E22" s="31"/>
      <c r="F22" s="6"/>
    </row>
    <row r="23" spans="2:6" x14ac:dyDescent="0.2">
      <c r="B23" s="6"/>
      <c r="E23" s="31"/>
      <c r="F23" s="6"/>
    </row>
    <row r="24" spans="2:6" x14ac:dyDescent="0.2">
      <c r="B24" s="6"/>
      <c r="E24" s="31"/>
      <c r="F24" s="6"/>
    </row>
    <row r="25" spans="2:6" x14ac:dyDescent="0.2">
      <c r="B25" s="6"/>
      <c r="E25" s="31"/>
      <c r="F25" s="6"/>
    </row>
    <row r="26" spans="2:6" x14ac:dyDescent="0.2">
      <c r="B26" s="6"/>
      <c r="E26" s="31"/>
      <c r="F26" s="6"/>
    </row>
    <row r="27" spans="2:6" x14ac:dyDescent="0.2">
      <c r="B27" s="6"/>
      <c r="E27" s="31"/>
      <c r="F27" s="6"/>
    </row>
    <row r="28" spans="2:6" x14ac:dyDescent="0.2">
      <c r="B28" s="6"/>
      <c r="E28" s="31"/>
      <c r="F28" s="6"/>
    </row>
    <row r="29" spans="2:6" x14ac:dyDescent="0.2">
      <c r="B29" s="6"/>
      <c r="E29" s="31"/>
      <c r="F29" s="6"/>
    </row>
    <row r="30" spans="2:6" x14ac:dyDescent="0.2">
      <c r="B30" s="6"/>
      <c r="E30" s="31"/>
      <c r="F30" s="6"/>
    </row>
    <row r="31" spans="2:6" x14ac:dyDescent="0.2">
      <c r="B31" s="6"/>
      <c r="E31" s="31"/>
      <c r="F31" s="6"/>
    </row>
    <row r="32" spans="2:6" x14ac:dyDescent="0.2">
      <c r="B32" s="6"/>
      <c r="E32" s="31"/>
      <c r="F32" s="6"/>
    </row>
    <row r="33" spans="2:6" x14ac:dyDescent="0.2">
      <c r="B33" s="6"/>
      <c r="E33" s="31"/>
      <c r="F33" s="6"/>
    </row>
    <row r="34" spans="2:6" x14ac:dyDescent="0.2">
      <c r="B34" s="6"/>
      <c r="E34" s="31"/>
      <c r="F34" s="6"/>
    </row>
    <row r="35" spans="2:6" x14ac:dyDescent="0.2">
      <c r="B35" s="6"/>
      <c r="E35" s="31"/>
      <c r="F35" s="6"/>
    </row>
    <row r="36" spans="2:6" x14ac:dyDescent="0.2">
      <c r="B36" s="6"/>
      <c r="E36" s="31"/>
      <c r="F36" s="6"/>
    </row>
    <row r="37" spans="2:6" x14ac:dyDescent="0.2">
      <c r="B37" s="6"/>
      <c r="E37" s="31"/>
      <c r="F37" s="6"/>
    </row>
    <row r="38" spans="2:6" x14ac:dyDescent="0.2">
      <c r="B38" s="6"/>
      <c r="E38" s="31"/>
      <c r="F38" s="6"/>
    </row>
    <row r="39" spans="2:6" x14ac:dyDescent="0.2">
      <c r="B39" s="6"/>
      <c r="E39" s="31"/>
      <c r="F39" s="6"/>
    </row>
    <row r="40" spans="2:6" x14ac:dyDescent="0.2">
      <c r="B40" s="6"/>
      <c r="E40" s="31"/>
      <c r="F40" s="6"/>
    </row>
    <row r="41" spans="2:6" x14ac:dyDescent="0.2">
      <c r="B41" s="6"/>
      <c r="E41" s="31"/>
      <c r="F41" s="6"/>
    </row>
    <row r="42" spans="2:6" x14ac:dyDescent="0.2">
      <c r="B42" s="6"/>
      <c r="E42" s="31"/>
      <c r="F42" s="6"/>
    </row>
    <row r="43" spans="2:6" x14ac:dyDescent="0.2">
      <c r="B43" s="6"/>
      <c r="E43" s="31"/>
      <c r="F43" s="6"/>
    </row>
    <row r="44" spans="2:6" x14ac:dyDescent="0.2">
      <c r="B44" s="6"/>
      <c r="E44" s="31"/>
      <c r="F44" s="6"/>
    </row>
    <row r="45" spans="2:6" x14ac:dyDescent="0.2">
      <c r="B45" s="6"/>
      <c r="E45" s="31"/>
      <c r="F45" s="6"/>
    </row>
    <row r="46" spans="2:6" x14ac:dyDescent="0.2">
      <c r="B46" s="6"/>
      <c r="E46" s="31"/>
      <c r="F46" s="6"/>
    </row>
    <row r="47" spans="2:6" x14ac:dyDescent="0.2">
      <c r="B47" s="6"/>
      <c r="E47" s="31"/>
      <c r="F47" s="6"/>
    </row>
    <row r="48" spans="2:6" x14ac:dyDescent="0.2">
      <c r="B48" s="6"/>
      <c r="E48" s="31"/>
      <c r="F48" s="6"/>
    </row>
    <row r="49" spans="2:6" x14ac:dyDescent="0.2">
      <c r="B49" s="6"/>
      <c r="E49" s="31"/>
      <c r="F49" s="6"/>
    </row>
    <row r="50" spans="2:6" x14ac:dyDescent="0.2">
      <c r="B50" s="6"/>
      <c r="E50" s="31"/>
      <c r="F50" s="6"/>
    </row>
    <row r="51" spans="2:6" x14ac:dyDescent="0.2">
      <c r="B51" s="6"/>
      <c r="E51" s="31"/>
      <c r="F51" s="6"/>
    </row>
    <row r="52" spans="2:6" x14ac:dyDescent="0.2">
      <c r="B52" s="6"/>
      <c r="E52" s="31"/>
      <c r="F52" s="6"/>
    </row>
    <row r="53" spans="2:6" x14ac:dyDescent="0.2">
      <c r="B53" s="6"/>
      <c r="E53" s="31"/>
      <c r="F53" s="6"/>
    </row>
    <row r="54" spans="2:6" x14ac:dyDescent="0.2">
      <c r="B54" s="6"/>
      <c r="E54" s="31"/>
      <c r="F54" s="6"/>
    </row>
    <row r="55" spans="2:6" x14ac:dyDescent="0.2">
      <c r="B55" s="6"/>
      <c r="E55" s="31"/>
      <c r="F55" s="6"/>
    </row>
    <row r="56" spans="2:6" x14ac:dyDescent="0.2">
      <c r="B56" s="6"/>
      <c r="E56" s="31"/>
      <c r="F56" s="6"/>
    </row>
    <row r="57" spans="2:6" x14ac:dyDescent="0.2">
      <c r="B57" s="6"/>
      <c r="E57" s="31"/>
      <c r="F57" s="6"/>
    </row>
    <row r="58" spans="2:6" x14ac:dyDescent="0.2">
      <c r="B58" s="6"/>
      <c r="E58" s="31"/>
      <c r="F58" s="6"/>
    </row>
    <row r="59" spans="2:6" x14ac:dyDescent="0.2">
      <c r="B59" s="6"/>
      <c r="E59" s="31"/>
      <c r="F59" s="6"/>
    </row>
    <row r="60" spans="2:6" x14ac:dyDescent="0.2">
      <c r="B60" s="6"/>
      <c r="E60" s="31"/>
      <c r="F60" s="6"/>
    </row>
    <row r="61" spans="2:6" x14ac:dyDescent="0.2">
      <c r="B61" s="6"/>
      <c r="E61" s="31"/>
      <c r="F61" s="6"/>
    </row>
    <row r="62" spans="2:6" x14ac:dyDescent="0.2">
      <c r="B62" s="6"/>
      <c r="E62" s="31"/>
      <c r="F62" s="6"/>
    </row>
    <row r="63" spans="2:6" x14ac:dyDescent="0.2">
      <c r="B63" s="6"/>
      <c r="E63" s="31"/>
      <c r="F63" s="6"/>
    </row>
    <row r="64" spans="2:6" x14ac:dyDescent="0.2">
      <c r="B64" s="6"/>
      <c r="E64" s="31"/>
      <c r="F64" s="6"/>
    </row>
    <row r="65" spans="2:6" x14ac:dyDescent="0.2">
      <c r="B65" s="6"/>
      <c r="E65" s="31"/>
      <c r="F65" s="6"/>
    </row>
    <row r="66" spans="2:6" x14ac:dyDescent="0.2">
      <c r="B66" s="6"/>
      <c r="E66" s="31"/>
      <c r="F66" s="6"/>
    </row>
    <row r="67" spans="2:6" x14ac:dyDescent="0.2">
      <c r="B67" s="6"/>
      <c r="E67" s="31"/>
      <c r="F67" s="6"/>
    </row>
    <row r="68" spans="2:6" x14ac:dyDescent="0.2">
      <c r="B68" s="6"/>
      <c r="E68" s="31"/>
      <c r="F68" s="6"/>
    </row>
    <row r="69" spans="2:6" x14ac:dyDescent="0.2">
      <c r="B69" s="6"/>
      <c r="E69" s="31"/>
      <c r="F69" s="6"/>
    </row>
    <row r="70" spans="2:6" x14ac:dyDescent="0.2">
      <c r="B70" s="6"/>
      <c r="E70" s="31"/>
      <c r="F70" s="6"/>
    </row>
    <row r="71" spans="2:6" x14ac:dyDescent="0.2">
      <c r="B71" s="6"/>
      <c r="E71" s="31"/>
      <c r="F71" s="6"/>
    </row>
    <row r="72" spans="2:6" x14ac:dyDescent="0.2">
      <c r="B72" s="6"/>
      <c r="E72" s="31"/>
      <c r="F72" s="6"/>
    </row>
    <row r="73" spans="2:6" x14ac:dyDescent="0.2">
      <c r="B73" s="6"/>
      <c r="E73" s="31"/>
      <c r="F73" s="6"/>
    </row>
    <row r="74" spans="2:6" x14ac:dyDescent="0.2">
      <c r="B74" s="6"/>
      <c r="E74" s="31"/>
      <c r="F74" s="6"/>
    </row>
    <row r="75" spans="2:6" x14ac:dyDescent="0.2">
      <c r="B75" s="6"/>
      <c r="E75" s="31"/>
      <c r="F75" s="6"/>
    </row>
    <row r="76" spans="2:6" x14ac:dyDescent="0.2">
      <c r="B76" s="6"/>
      <c r="E76" s="31"/>
      <c r="F76" s="6"/>
    </row>
    <row r="77" spans="2:6" x14ac:dyDescent="0.2">
      <c r="B77" s="6"/>
      <c r="E77" s="31"/>
      <c r="F77" s="6"/>
    </row>
    <row r="78" spans="2:6" x14ac:dyDescent="0.2">
      <c r="B78" s="6"/>
      <c r="E78" s="31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</sheetData>
  <phoneticPr fontId="7" type="noConversion"/>
  <hyperlinks>
    <hyperlink ref="P11" r:id="rId1" display="http://www.konkoly.hu/cgi-bin/IBVS?5741"/>
    <hyperlink ref="P12" r:id="rId2" display="http://www.bav-astro.de/sfs/BAVM_link.php?BAVMnr=178"/>
    <hyperlink ref="P13" r:id="rId3" display="http://www.bav-astro.de/sfs/BAVM_link.php?BAVMnr=21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2024-02-02T03:44:11Z</dcterms:modified>
</cp:coreProperties>
</file>