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AE5C368-FBD8-4C96-AEF6-5B5D84866D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5" i="1"/>
  <c r="F25" i="1"/>
  <c r="G25" i="1"/>
  <c r="I25" i="1"/>
  <c r="E32" i="1"/>
  <c r="F32" i="1"/>
  <c r="G32" i="1"/>
  <c r="K32" i="1"/>
  <c r="D9" i="1"/>
  <c r="C9" i="1"/>
  <c r="E21" i="1"/>
  <c r="F21" i="1"/>
  <c r="G21" i="1"/>
  <c r="H21" i="1"/>
  <c r="E22" i="1"/>
  <c r="F22" i="1"/>
  <c r="G22" i="1"/>
  <c r="K22" i="1"/>
  <c r="E24" i="1"/>
  <c r="F24" i="1"/>
  <c r="G24" i="1"/>
  <c r="K24" i="1"/>
  <c r="E27" i="1"/>
  <c r="F27" i="1"/>
  <c r="G27" i="1"/>
  <c r="J27" i="1"/>
  <c r="E30" i="1"/>
  <c r="F30" i="1"/>
  <c r="G30" i="1"/>
  <c r="J30" i="1"/>
  <c r="E28" i="1"/>
  <c r="F28" i="1"/>
  <c r="G28" i="1"/>
  <c r="J28" i="1"/>
  <c r="E29" i="1"/>
  <c r="F29" i="1"/>
  <c r="G29" i="1"/>
  <c r="J29" i="1"/>
  <c r="E34" i="1"/>
  <c r="F34" i="1"/>
  <c r="G34" i="1"/>
  <c r="J34" i="1"/>
  <c r="E35" i="1"/>
  <c r="F35" i="1"/>
  <c r="G35" i="1"/>
  <c r="J35" i="1"/>
  <c r="E23" i="1"/>
  <c r="F23" i="1"/>
  <c r="G23" i="1"/>
  <c r="K23" i="1"/>
  <c r="E26" i="1"/>
  <c r="F26" i="1"/>
  <c r="G26" i="1"/>
  <c r="K26" i="1"/>
  <c r="E31" i="1"/>
  <c r="F31" i="1"/>
  <c r="G31" i="1"/>
  <c r="K31" i="1"/>
  <c r="E33" i="1"/>
  <c r="F33" i="1"/>
  <c r="G33" i="1"/>
  <c r="K33" i="1"/>
  <c r="Q32" i="1"/>
  <c r="Q25" i="1"/>
  <c r="G21" i="2"/>
  <c r="C21" i="2"/>
  <c r="E21" i="2"/>
  <c r="G20" i="2"/>
  <c r="C20" i="2"/>
  <c r="E20" i="2"/>
  <c r="G25" i="2"/>
  <c r="C25" i="2"/>
  <c r="E25" i="2"/>
  <c r="G24" i="2"/>
  <c r="C24" i="2"/>
  <c r="E24" i="2"/>
  <c r="G23" i="2"/>
  <c r="C23" i="2"/>
  <c r="E23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22" i="2"/>
  <c r="C22" i="2"/>
  <c r="E22" i="2"/>
  <c r="G14" i="2"/>
  <c r="C14" i="2"/>
  <c r="E14" i="2"/>
  <c r="G13" i="2"/>
  <c r="C13" i="2"/>
  <c r="E13" i="2"/>
  <c r="G12" i="2"/>
  <c r="C12" i="2"/>
  <c r="E12" i="2"/>
  <c r="G11" i="2"/>
  <c r="C11" i="2"/>
  <c r="E11" i="2"/>
  <c r="H21" i="2"/>
  <c r="B21" i="2"/>
  <c r="D21" i="2"/>
  <c r="A21" i="2"/>
  <c r="H20" i="2"/>
  <c r="D20" i="2"/>
  <c r="B20" i="2"/>
  <c r="A20" i="2"/>
  <c r="H25" i="2"/>
  <c r="B25" i="2"/>
  <c r="D25" i="2"/>
  <c r="A25" i="2"/>
  <c r="H24" i="2"/>
  <c r="D24" i="2"/>
  <c r="B24" i="2"/>
  <c r="A24" i="2"/>
  <c r="H23" i="2"/>
  <c r="B23" i="2"/>
  <c r="D23" i="2"/>
  <c r="A23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22" i="2"/>
  <c r="B22" i="2"/>
  <c r="D22" i="2"/>
  <c r="A22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4" i="1"/>
  <c r="Q35" i="1"/>
  <c r="Q33" i="1"/>
  <c r="F16" i="1"/>
  <c r="C17" i="1"/>
  <c r="Q23" i="1"/>
  <c r="Q26" i="1"/>
  <c r="Q31" i="1"/>
  <c r="Q30" i="1"/>
  <c r="Q28" i="1"/>
  <c r="Q29" i="1"/>
  <c r="Q27" i="1"/>
  <c r="Q22" i="1"/>
  <c r="Q24" i="1"/>
  <c r="Q21" i="1"/>
  <c r="C11" i="1"/>
  <c r="C12" i="1"/>
  <c r="C16" i="1" l="1"/>
  <c r="D18" i="1" s="1"/>
  <c r="O21" i="1"/>
  <c r="O35" i="1"/>
  <c r="O24" i="1"/>
  <c r="O28" i="1"/>
  <c r="O23" i="1"/>
  <c r="O33" i="1"/>
  <c r="O29" i="1"/>
  <c r="O34" i="1"/>
  <c r="O30" i="1"/>
  <c r="O31" i="1"/>
  <c r="O22" i="1"/>
  <c r="O26" i="1"/>
  <c r="O27" i="1"/>
  <c r="O32" i="1"/>
  <c r="O25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<sst xmlns="http://schemas.openxmlformats.org/spreadsheetml/2006/main" count="210" uniqueCount="143">
  <si>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</si>
  <si>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</si>
  <si>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</si>
  <si>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</si>
  <si>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</si>
  <si>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</si>
  <si>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</si>
  <si>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</si>
  <si>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</si>
  <si>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</si>
  <si>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</si>
  <si>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</si>
  <si>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</si>
  <si>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</si>
  <si>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</si>
  <si>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</si>
  <si>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</si>
  <si>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</si>
  <si>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</si>
  <si>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</si>
  <si>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</si>
  <si>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</si>
  <si>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</si>
  <si>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</si>
  <si>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</si>
  <si>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</si>
  <si>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</si>
  <si>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</si>
  <si>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EA/KE:</t>
  </si>
  <si>
    <t>IBVS 5263</t>
  </si>
  <si>
    <t>I</t>
  </si>
  <si>
    <t>IBVS 5287</t>
  </si>
  <si>
    <t>IBVS 5657</t>
  </si>
  <si>
    <t># of data points: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</si>
  <si>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</si>
  <si>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</si>
  <si>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</si>
  <si>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</si>
  <si>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</si>
  <si>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</si>
  <si>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</si>
  <si>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</si>
  <si>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</si>
  <si>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</si>
  <si>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0107</t>
  </si>
  <si>
    <t>Add cycle</t>
  </si>
  <si>
    <t>Old Cycle</t>
  </si>
  <si>
    <t>OEJV 0137</t>
  </si>
  <si>
    <t>II</t>
  </si>
  <si>
    <t>IBVS 6010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</si>
  <si>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</si>
  <si>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</si>
  <si>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</si>
  <si>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</si>
  <si>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</si>
  <si>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</si>
  <si>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</si>
  <si>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</si>
  <si>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</si>
  <si>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</si>
  <si>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</si>
  <si>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2451107.297 </t>
  </si>
  <si>
    <t> 20.10.1998 19:07 </t>
  </si>
  <si>
    <t> -0.001 </t>
  </si>
  <si>
    <t>E </t>
  </si>
  <si>
    <t>?</t>
  </si>
  <si>
    <t> R.Diethelm </t>
  </si>
  <si>
    <t> BBS 119 </t>
  </si>
  <si>
    <t>2451394.5641 </t>
  </si>
  <si>
    <t> 04.08.1999 01:32 </t>
  </si>
  <si>
    <t> -0.0027 </t>
  </si>
  <si>
    <t> M.Zejda </t>
  </si>
  <si>
    <t>IBVS 5263 </t>
  </si>
  <si>
    <t>2451780.41683 </t>
  </si>
  <si>
    <t> 23.08.2000 22:00 </t>
  </si>
  <si>
    <t> -0.00146 </t>
  </si>
  <si>
    <t>C </t>
  </si>
  <si>
    <t>o</t>
  </si>
  <si>
    <t> J.Šafár </t>
  </si>
  <si>
    <t>OEJV 0074 </t>
  </si>
  <si>
    <t>2451799.4968 </t>
  </si>
  <si>
    <t> 11.09.2000 23:55 </t>
  </si>
  <si>
    <t> -0.0021 </t>
  </si>
  <si>
    <t>IBVS 5287 </t>
  </si>
  <si>
    <t>2451814.3380 </t>
  </si>
  <si>
    <t> 26.09.2000 20:06 </t>
  </si>
  <si>
    <t> -0.0013 </t>
  </si>
  <si>
    <t> E.Blättler </t>
  </si>
  <si>
    <t> BBS 124 </t>
  </si>
  <si>
    <t>2452487.45750 </t>
  </si>
  <si>
    <t> 31.07.2002 22:58 </t>
  </si>
  <si>
    <t> -0.00187 </t>
  </si>
  <si>
    <t> P.Hájek </t>
  </si>
  <si>
    <t>2453107.5760 </t>
  </si>
  <si>
    <t> 12.04.2004 01:49 </t>
  </si>
  <si>
    <t> -0.0019 </t>
  </si>
  <si>
    <t> Moschner &amp; Frank </t>
  </si>
  <si>
    <t>BAVM 173 </t>
  </si>
  <si>
    <t>2453519.4017 </t>
  </si>
  <si>
    <t> 28.05.2005 21:38 </t>
  </si>
  <si>
    <t> 0.0016 </t>
  </si>
  <si>
    <t>-I</t>
  </si>
  <si>
    <t> Agerer </t>
  </si>
  <si>
    <t>BAVM 178 </t>
  </si>
  <si>
    <t>2453601.5559 </t>
  </si>
  <si>
    <t> 19.08.2005 01:20 </t>
  </si>
  <si>
    <t>18626</t>
  </si>
  <si>
    <t> 0.0033 </t>
  </si>
  <si>
    <t> Schmidt </t>
  </si>
  <si>
    <t>2453900.4818 </t>
  </si>
  <si>
    <t> 13.06.2006 23:33 </t>
  </si>
  <si>
    <t>18908</t>
  </si>
  <si>
    <t> 0.0003 </t>
  </si>
  <si>
    <t> R. Diethelm </t>
  </si>
  <si>
    <t>IBVS 5713 </t>
  </si>
  <si>
    <t>2454218.4892 </t>
  </si>
  <si>
    <t> 27.04.2007 23:44 </t>
  </si>
  <si>
    <t>19208</t>
  </si>
  <si>
    <t> -0.0018 </t>
  </si>
  <si>
    <t>R</t>
  </si>
  <si>
    <t> M.Lehky </t>
  </si>
  <si>
    <t>OEJV 0107 </t>
  </si>
  <si>
    <t>2454943.5499 </t>
  </si>
  <si>
    <t> 22.04.2009 01:11 </t>
  </si>
  <si>
    <t>19892</t>
  </si>
  <si>
    <t>BAVM 212 </t>
  </si>
  <si>
    <t>2455374.4529 </t>
  </si>
  <si>
    <t> 26.06.2010 22:52 </t>
  </si>
  <si>
    <t>20298.5</t>
  </si>
  <si>
    <t> -0.0025 </t>
  </si>
  <si>
    <t>OEJV 0137 </t>
  </si>
  <si>
    <t>2455478.3359 </t>
  </si>
  <si>
    <t> 08.10.2010 20:03 </t>
  </si>
  <si>
    <t>20396.5</t>
  </si>
  <si>
    <t> -0.0026 </t>
  </si>
  <si>
    <t> F.Agerer </t>
  </si>
  <si>
    <t>BAVM 215 </t>
  </si>
  <si>
    <t>2455710.4821 </t>
  </si>
  <si>
    <t> 28.05.2011 23:34 </t>
  </si>
  <si>
    <t>20615.5</t>
  </si>
  <si>
    <t> -0.0033 </t>
  </si>
  <si>
    <t>BAVM 220 </t>
  </si>
  <si>
    <t>V0880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</si>
</sst>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V0880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4C-4963-8F68-41DCB07A23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4">
                  <c:v>-1.3040000048931688E-3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4C-4963-8F68-41DCB07A23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">
                  <c:v>-1.8560000025900081E-3</c:v>
                </c:pt>
                <c:pt idx="7">
                  <c:v>1.567400002386421E-3</c:v>
                </c:pt>
                <c:pt idx="8">
                  <c:v>3.3183999985340051E-3</c:v>
                </c:pt>
                <c:pt idx="9">
                  <c:v>3.0719999631401151E-4</c:v>
                </c:pt>
                <c:pt idx="13">
                  <c:v>-2.6294000053894706E-3</c:v>
                </c:pt>
                <c:pt idx="14">
                  <c:v>-3.3498000047984533E-3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4C-4963-8F68-41DCB07A23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-2.6903999969363213E-3</c:v>
                </c:pt>
                <c:pt idx="2">
                  <c:v>-1.462800006265752E-3</c:v>
                </c:pt>
                <c:pt idx="3">
                  <c:v>-2.0616000037989579E-3</c:v>
                </c:pt>
                <c:pt idx="5">
                  <c:v>-1.8700000073295087E-3</c:v>
                </c:pt>
                <c:pt idx="10">
                  <c:v>-1.7428000064683147E-3</c:v>
                </c:pt>
                <c:pt idx="11">
                  <c:v>-2.6872000016737729E-3</c:v>
                </c:pt>
                <c:pt idx="12">
                  <c:v>-2.4526000051992014E-3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4C-4963-8F68-41DCB07A23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4C-4963-8F68-41DCB07A23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4C-4963-8F68-41DCB07A23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4C-4963-8F68-41DCB07A23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1.4785894306989004E-4</c:v>
                </c:pt>
                <c:pt idx="1">
                  <c:v>-1.1991056586120115E-3</c:v>
                </c:pt>
                <c:pt idx="2">
                  <c:v>-1.2287414851964054E-3</c:v>
                </c:pt>
                <c:pt idx="3">
                  <c:v>-1.2302069931044248E-3</c:v>
                </c:pt>
                <c:pt idx="4">
                  <c:v>-1.2313468325884399E-3</c:v>
                </c:pt>
                <c:pt idx="5">
                  <c:v>-1.2830466948991271E-3</c:v>
                </c:pt>
                <c:pt idx="6">
                  <c:v>-1.33067570190976E-3</c:v>
                </c:pt>
                <c:pt idx="7">
                  <c:v>-1.3623062475911804E-3</c:v>
                </c:pt>
                <c:pt idx="8">
                  <c:v>-1.3686160733062643E-3</c:v>
                </c:pt>
                <c:pt idx="9">
                  <c:v>-1.3915756971985694E-3</c:v>
                </c:pt>
                <c:pt idx="10">
                  <c:v>-1.416000828998894E-3</c:v>
                </c:pt>
                <c:pt idx="11">
                  <c:v>-1.4716901295036341E-3</c:v>
                </c:pt>
                <c:pt idx="12">
                  <c:v>-1.504786183093074E-3</c:v>
                </c:pt>
                <c:pt idx="13">
                  <c:v>-1.5127650594811801E-3</c:v>
                </c:pt>
                <c:pt idx="14">
                  <c:v>-1.530595405695417E-3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4C-4963-8F68-41DCB07A2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0008"/>
        <c:axId val="1"/>
      </c:scatterChart>
      <c:valAx>
        <c:axId val="66407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V0880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1-4926-A869-B2513836011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4">
                  <c:v>-1.3040000048931688E-3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41-4926-A869-B251383601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">
                  <c:v>-1.8560000025900081E-3</c:v>
                </c:pt>
                <c:pt idx="7">
                  <c:v>1.567400002386421E-3</c:v>
                </c:pt>
                <c:pt idx="8">
                  <c:v>3.3183999985340051E-3</c:v>
                </c:pt>
                <c:pt idx="9">
                  <c:v>3.0719999631401151E-4</c:v>
                </c:pt>
                <c:pt idx="13">
                  <c:v>-2.6294000053894706E-3</c:v>
                </c:pt>
                <c:pt idx="14">
                  <c:v>-3.3498000047984533E-3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41-4926-A869-B251383601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-2.6903999969363213E-3</c:v>
                </c:pt>
                <c:pt idx="2">
                  <c:v>-1.462800006265752E-3</c:v>
                </c:pt>
                <c:pt idx="3">
                  <c:v>-2.0616000037989579E-3</c:v>
                </c:pt>
                <c:pt idx="5">
                  <c:v>-1.8700000073295087E-3</c:v>
                </c:pt>
                <c:pt idx="10">
                  <c:v>-1.7428000064683147E-3</c:v>
                </c:pt>
                <c:pt idx="11">
                  <c:v>-2.6872000016737729E-3</c:v>
                </c:pt>
                <c:pt idx="12">
                  <c:v>-2.4526000051992014E-3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41-4926-A869-B251383601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41-4926-A869-B251383601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41-4926-A869-B251383601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1E-3</c:v>
                  </c:pt>
                  <c:pt idx="2">
                    <c:v>3.8E-3</c:v>
                  </c:pt>
                  <c:pt idx="3">
                    <c:v>6.4000000000000003E-3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1.24E-2</c:v>
                  </c:pt>
                  <c:pt idx="8">
                    <c:v>3.0999999999999999E-3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3.0000000000000001E-3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41-4926-A869-B251383601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16544</c:v>
                </c:pt>
                <c:pt idx="2">
                  <c:v>16908</c:v>
                </c:pt>
                <c:pt idx="3">
                  <c:v>16926</c:v>
                </c:pt>
                <c:pt idx="4">
                  <c:v>16940</c:v>
                </c:pt>
                <c:pt idx="5">
                  <c:v>17575</c:v>
                </c:pt>
                <c:pt idx="6">
                  <c:v>18160</c:v>
                </c:pt>
                <c:pt idx="7">
                  <c:v>18548.5</c:v>
                </c:pt>
                <c:pt idx="8">
                  <c:v>18626</c:v>
                </c:pt>
                <c:pt idx="9">
                  <c:v>18908</c:v>
                </c:pt>
                <c:pt idx="10">
                  <c:v>19208</c:v>
                </c:pt>
                <c:pt idx="11">
                  <c:v>19892</c:v>
                </c:pt>
                <c:pt idx="12">
                  <c:v>20298.5</c:v>
                </c:pt>
                <c:pt idx="13">
                  <c:v>20396.5</c:v>
                </c:pt>
                <c:pt idx="14">
                  <c:v>20615.5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1.4785894306989004E-4</c:v>
                </c:pt>
                <c:pt idx="1">
                  <c:v>-1.1991056586120115E-3</c:v>
                </c:pt>
                <c:pt idx="2">
                  <c:v>-1.2287414851964054E-3</c:v>
                </c:pt>
                <c:pt idx="3">
                  <c:v>-1.2302069931044248E-3</c:v>
                </c:pt>
                <c:pt idx="4">
                  <c:v>-1.2313468325884399E-3</c:v>
                </c:pt>
                <c:pt idx="5">
                  <c:v>-1.2830466948991271E-3</c:v>
                </c:pt>
                <c:pt idx="6">
                  <c:v>-1.33067570190976E-3</c:v>
                </c:pt>
                <c:pt idx="7">
                  <c:v>-1.3623062475911804E-3</c:v>
                </c:pt>
                <c:pt idx="8">
                  <c:v>-1.3686160733062643E-3</c:v>
                </c:pt>
                <c:pt idx="9">
                  <c:v>-1.3915756971985694E-3</c:v>
                </c:pt>
                <c:pt idx="10">
                  <c:v>-1.416000828998894E-3</c:v>
                </c:pt>
                <c:pt idx="11">
                  <c:v>-1.4716901295036341E-3</c:v>
                </c:pt>
                <c:pt idx="12">
                  <c:v>-1.504786183093074E-3</c:v>
                </c:pt>
                <c:pt idx="13">
                  <c:v>-1.5127650594811801E-3</c:v>
                </c:pt>
                <c:pt idx="14">
                  <c:v>-1.530595405695417E-3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41-4926-A869-B2513836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0008"/>
        <c:axId val="1"/>
      </c:scatterChart>
      <c:valAx>
        <c:axId val="664070008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66675</xdr:rowOff>
    </xdr:from>
    <xdr:to>
      <xdr:col>17</xdr:col>
      <xdr:colOff>142875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95612D-F907-1B7A-61F3-ED304F172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295276</xdr:colOff>
      <xdr:row>0</xdr:row>
      <xdr:rowOff>9525</xdr:rowOff>
    </xdr:from>
    <xdr:to>
      <xdr:col>26</xdr:col>
      <xdr:colOff>676276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D03D6-92DA-432E-BEEC-25324F0F9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3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142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6" t="s">
        <v>0</v>
      </c>
      <c r="C4" s="3">
        <v>33857.404000000002</v>
      </c>
      <c r="D4" s="4">
        <v>1.0600316000000001</v>
      </c>
    </row>
    <row r="5" spans="1:6" ht="13.5" thickTop="1" x14ac:dyDescent="0.2">
      <c r="A5" s="14" t="s">
        <v>36</v>
      </c>
      <c r="B5" s="11"/>
      <c r="C5" s="15">
        <v>-9.5</v>
      </c>
      <c r="D5" s="11" t="s">
        <v>37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33857.404000000002</v>
      </c>
    </row>
    <row r="8" spans="1:6" x14ac:dyDescent="0.2">
      <c r="A8" t="s">
        <v>3</v>
      </c>
      <c r="C8">
        <f>+D4</f>
        <v>1.0600316000000001</v>
      </c>
    </row>
    <row r="9" spans="1:6" x14ac:dyDescent="0.2">
      <c r="A9" s="29" t="s">
        <v>41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6">
        <f ca="1">INTERCEPT(INDIRECT($D$9):G990,INDIRECT($C$9):F990)</f>
        <v>1.4785894306989004E-4</v>
      </c>
      <c r="D11" s="17"/>
      <c r="E11" s="11"/>
    </row>
    <row r="12" spans="1:6" x14ac:dyDescent="0.2">
      <c r="A12" s="11" t="s">
        <v>17</v>
      </c>
      <c r="B12" s="11"/>
      <c r="C12" s="16">
        <f ca="1">SLOPE(INDIRECT($D$9):G990,INDIRECT($C$9):F990)</f>
        <v>-8.1417106001082053E-8</v>
      </c>
      <c r="D12" s="17"/>
      <c r="E12" s="11"/>
    </row>
    <row r="13" spans="1:6" x14ac:dyDescent="0.2">
      <c r="A13" s="11" t="s">
        <v>19</v>
      </c>
      <c r="B13" s="11"/>
      <c r="C13" s="17" t="s">
        <v>14</v>
      </c>
    </row>
    <row r="14" spans="1:6" x14ac:dyDescent="0.2">
      <c r="A14" s="11"/>
      <c r="B14" s="11"/>
      <c r="C14" s="11"/>
    </row>
    <row r="15" spans="1:6" x14ac:dyDescent="0.2">
      <c r="A15" s="20" t="s">
        <v>18</v>
      </c>
      <c r="B15" s="11"/>
      <c r="C15" s="21">
        <f ca="1">(C7+C11)+(C8+C12)*INT(MAX(F21:F3531))</f>
        <v>55709.953903445305</v>
      </c>
      <c r="E15" s="22" t="s">
        <v>45</v>
      </c>
      <c r="F15" s="15">
        <v>1</v>
      </c>
    </row>
    <row r="16" spans="1:6" x14ac:dyDescent="0.2">
      <c r="A16" s="24" t="s">
        <v>4</v>
      </c>
      <c r="B16" s="11"/>
      <c r="C16" s="25">
        <f ca="1">+C8+C12</f>
        <v>1.0600315185828941</v>
      </c>
      <c r="E16" s="22" t="s">
        <v>38</v>
      </c>
      <c r="F16" s="23">
        <f ca="1">NOW()+15018.5+$C$5/24</f>
        <v>60342.701701388884</v>
      </c>
    </row>
    <row r="17" spans="1:17" ht="13.5" thickBot="1" x14ac:dyDescent="0.25">
      <c r="A17" s="22" t="s">
        <v>33</v>
      </c>
      <c r="B17" s="11"/>
      <c r="C17" s="11">
        <f>COUNT(C21:C2189)</f>
        <v>15</v>
      </c>
      <c r="E17" s="22" t="s">
        <v>46</v>
      </c>
      <c r="F17" s="23">
        <f ca="1">ROUND(2*(F16-$C$7)/$C$8,0)/2+F15</f>
        <v>24986.5</v>
      </c>
    </row>
    <row r="18" spans="1:17" ht="14.25" thickTop="1" thickBot="1" x14ac:dyDescent="0.25">
      <c r="A18" s="24" t="s">
        <v>5</v>
      </c>
      <c r="B18" s="11"/>
      <c r="C18" s="27">
        <f ca="1">+C15</f>
        <v>55709.953903445305</v>
      </c>
      <c r="D18" s="28">
        <f ca="1">+C16</f>
        <v>1.0600315185828941</v>
      </c>
      <c r="E18" s="22" t="s">
        <v>39</v>
      </c>
      <c r="F18" s="19">
        <f ca="1">ROUND(2*(F16-$C$15)/$C$16,0)/2+F15</f>
        <v>4371.5</v>
      </c>
    </row>
    <row r="19" spans="1:17" ht="13.5" thickTop="1" x14ac:dyDescent="0.2">
      <c r="E19" s="22" t="s">
        <v>40</v>
      </c>
      <c r="F19" s="26">
        <f ca="1">+$C$15+$C$16*F18-15018.5-$C$5/24</f>
        <v>45325.777520263764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57</v>
      </c>
      <c r="I20" s="8" t="s">
        <v>60</v>
      </c>
      <c r="J20" s="8" t="s">
        <v>54</v>
      </c>
      <c r="K20" s="8" t="s">
        <v>43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v>33857.404000000002</v>
      </c>
      <c r="D21" s="12" t="s">
        <v>14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+C$11+C$12*$F21</f>
        <v>1.4785894306989004E-4</v>
      </c>
      <c r="Q21" s="2">
        <f t="shared" ref="Q21:Q35" si="4">+C21-15018.5</f>
        <v>18838.904000000002</v>
      </c>
    </row>
    <row r="22" spans="1:17" x14ac:dyDescent="0.2">
      <c r="A22" s="9" t="s">
        <v>29</v>
      </c>
      <c r="B22" s="10" t="s">
        <v>30</v>
      </c>
      <c r="C22" s="13">
        <v>51394.564100000003</v>
      </c>
      <c r="D22" s="13">
        <v>1E-3</v>
      </c>
      <c r="E22">
        <f t="shared" si="0"/>
        <v>16543.997461962455</v>
      </c>
      <c r="F22">
        <f t="shared" si="1"/>
        <v>16544</v>
      </c>
      <c r="G22">
        <f t="shared" si="2"/>
        <v>-2.6903999969363213E-3</v>
      </c>
      <c r="K22">
        <f>+G22</f>
        <v>-2.6903999969363213E-3</v>
      </c>
      <c r="O22">
        <f t="shared" ca="1" si="3"/>
        <v>-1.1991056586120115E-3</v>
      </c>
      <c r="Q22" s="2">
        <f t="shared" si="4"/>
        <v>36376.064100000003</v>
      </c>
    </row>
    <row r="23" spans="1:17" x14ac:dyDescent="0.2">
      <c r="A23" s="31" t="s">
        <v>42</v>
      </c>
      <c r="B23" s="32" t="s">
        <v>30</v>
      </c>
      <c r="C23" s="31">
        <v>51780.416830000002</v>
      </c>
      <c r="D23" s="31">
        <v>3.8E-3</v>
      </c>
      <c r="E23" s="33">
        <f t="shared" si="0"/>
        <v>16907.998620041137</v>
      </c>
      <c r="F23">
        <f t="shared" si="1"/>
        <v>16908</v>
      </c>
      <c r="G23">
        <f t="shared" si="2"/>
        <v>-1.462800006265752E-3</v>
      </c>
      <c r="K23">
        <f>+G23</f>
        <v>-1.462800006265752E-3</v>
      </c>
      <c r="O23">
        <f t="shared" ca="1" si="3"/>
        <v>-1.2287414851964054E-3</v>
      </c>
      <c r="Q23" s="2">
        <f t="shared" si="4"/>
        <v>36761.916830000002</v>
      </c>
    </row>
    <row r="24" spans="1:17" x14ac:dyDescent="0.2">
      <c r="A24" s="9" t="s">
        <v>31</v>
      </c>
      <c r="B24" s="34" t="s">
        <v>30</v>
      </c>
      <c r="C24" s="35">
        <v>51799.496800000001</v>
      </c>
      <c r="D24" s="35">
        <v>6.4000000000000003E-3</v>
      </c>
      <c r="E24" s="33">
        <f t="shared" si="0"/>
        <v>16925.998055152315</v>
      </c>
      <c r="F24">
        <f t="shared" si="1"/>
        <v>16926</v>
      </c>
      <c r="G24">
        <f t="shared" si="2"/>
        <v>-2.0616000037989579E-3</v>
      </c>
      <c r="K24">
        <f>+G24</f>
        <v>-2.0616000037989579E-3</v>
      </c>
      <c r="O24">
        <f t="shared" ca="1" si="3"/>
        <v>-1.2302069931044248E-3</v>
      </c>
      <c r="Q24" s="2">
        <f t="shared" si="4"/>
        <v>36780.996800000001</v>
      </c>
    </row>
    <row r="25" spans="1:17" x14ac:dyDescent="0.2">
      <c r="A25" s="62" t="s">
        <v>88</v>
      </c>
      <c r="B25" s="64" t="s">
        <v>30</v>
      </c>
      <c r="C25" s="63">
        <v>51814.338000000003</v>
      </c>
      <c r="D25" s="63" t="s">
        <v>60</v>
      </c>
      <c r="E25" s="33">
        <f t="shared" si="0"/>
        <v>16939.998769847993</v>
      </c>
      <c r="F25">
        <f t="shared" si="1"/>
        <v>16940</v>
      </c>
      <c r="G25">
        <f t="shared" si="2"/>
        <v>-1.3040000048931688E-3</v>
      </c>
      <c r="I25">
        <f>+G25</f>
        <v>-1.3040000048931688E-3</v>
      </c>
      <c r="O25">
        <f t="shared" ca="1" si="3"/>
        <v>-1.2313468325884399E-3</v>
      </c>
      <c r="Q25" s="2">
        <f t="shared" si="4"/>
        <v>36795.838000000003</v>
      </c>
    </row>
    <row r="26" spans="1:17" x14ac:dyDescent="0.2">
      <c r="A26" s="31" t="s">
        <v>42</v>
      </c>
      <c r="B26" s="32" t="s">
        <v>30</v>
      </c>
      <c r="C26" s="31">
        <v>52487.457499999997</v>
      </c>
      <c r="D26" s="31" t="s">
        <v>43</v>
      </c>
      <c r="E26" s="33">
        <f t="shared" si="0"/>
        <v>17574.998235901639</v>
      </c>
      <c r="F26">
        <f t="shared" si="1"/>
        <v>17575</v>
      </c>
      <c r="G26">
        <f t="shared" si="2"/>
        <v>-1.8700000073295087E-3</v>
      </c>
      <c r="K26">
        <f>+G26</f>
        <v>-1.8700000073295087E-3</v>
      </c>
      <c r="O26">
        <f t="shared" ca="1" si="3"/>
        <v>-1.2830466948991271E-3</v>
      </c>
      <c r="Q26" s="2">
        <f t="shared" si="4"/>
        <v>37468.957499999997</v>
      </c>
    </row>
    <row r="27" spans="1:17" x14ac:dyDescent="0.2">
      <c r="A27" s="36" t="s">
        <v>32</v>
      </c>
      <c r="B27" s="37"/>
      <c r="C27" s="38">
        <v>53107.576000000001</v>
      </c>
      <c r="D27" s="38">
        <v>2.9999999999999997E-4</v>
      </c>
      <c r="E27" s="33">
        <f t="shared" si="0"/>
        <v>18159.998249108798</v>
      </c>
      <c r="F27">
        <f t="shared" si="1"/>
        <v>18160</v>
      </c>
      <c r="G27">
        <f t="shared" si="2"/>
        <v>-1.8560000025900081E-3</v>
      </c>
      <c r="J27">
        <f>+G27</f>
        <v>-1.8560000025900081E-3</v>
      </c>
      <c r="O27">
        <f t="shared" ca="1" si="3"/>
        <v>-1.33067570190976E-3</v>
      </c>
      <c r="Q27" s="2">
        <f t="shared" si="4"/>
        <v>38089.076000000001</v>
      </c>
    </row>
    <row r="28" spans="1:17" x14ac:dyDescent="0.2">
      <c r="A28" s="39" t="s">
        <v>34</v>
      </c>
      <c r="B28" s="40"/>
      <c r="C28" s="38">
        <v>53519.401700000002</v>
      </c>
      <c r="D28" s="38">
        <v>1.24E-2</v>
      </c>
      <c r="E28" s="33">
        <f t="shared" si="0"/>
        <v>18548.501478635164</v>
      </c>
      <c r="F28">
        <f t="shared" si="1"/>
        <v>18548.5</v>
      </c>
      <c r="G28">
        <f t="shared" si="2"/>
        <v>1.567400002386421E-3</v>
      </c>
      <c r="J28">
        <f>+G28</f>
        <v>1.567400002386421E-3</v>
      </c>
      <c r="O28">
        <f t="shared" ca="1" si="3"/>
        <v>-1.3623062475911804E-3</v>
      </c>
      <c r="Q28" s="2">
        <f t="shared" si="4"/>
        <v>38500.901700000002</v>
      </c>
    </row>
    <row r="29" spans="1:17" x14ac:dyDescent="0.2">
      <c r="A29" s="39" t="s">
        <v>34</v>
      </c>
      <c r="B29" s="40"/>
      <c r="C29" s="38">
        <v>53601.555899999999</v>
      </c>
      <c r="D29" s="38">
        <v>3.0999999999999999E-3</v>
      </c>
      <c r="E29" s="33">
        <f t="shared" si="0"/>
        <v>18626.003130472709</v>
      </c>
      <c r="F29">
        <f t="shared" si="1"/>
        <v>18626</v>
      </c>
      <c r="G29">
        <f t="shared" si="2"/>
        <v>3.3183999985340051E-3</v>
      </c>
      <c r="J29">
        <f>+G29</f>
        <v>3.3183999985340051E-3</v>
      </c>
      <c r="O29">
        <f t="shared" ca="1" si="3"/>
        <v>-1.3686160733062643E-3</v>
      </c>
      <c r="Q29" s="2">
        <f t="shared" si="4"/>
        <v>38583.055899999999</v>
      </c>
    </row>
    <row r="30" spans="1:17" x14ac:dyDescent="0.2">
      <c r="A30" s="39" t="s">
        <v>35</v>
      </c>
      <c r="B30" s="41" t="s">
        <v>30</v>
      </c>
      <c r="C30" s="38">
        <v>53900.481800000001</v>
      </c>
      <c r="D30" s="38">
        <v>5.0000000000000001E-4</v>
      </c>
      <c r="E30" s="33">
        <f t="shared" si="0"/>
        <v>18908.00028980268</v>
      </c>
      <c r="F30">
        <f t="shared" si="1"/>
        <v>18908</v>
      </c>
      <c r="G30">
        <f t="shared" si="2"/>
        <v>3.0719999631401151E-4</v>
      </c>
      <c r="J30">
        <f>+G30</f>
        <v>3.0719999631401151E-4</v>
      </c>
      <c r="O30">
        <f t="shared" ca="1" si="3"/>
        <v>-1.3915756971985694E-3</v>
      </c>
      <c r="Q30" s="2">
        <f t="shared" si="4"/>
        <v>38881.981800000001</v>
      </c>
    </row>
    <row r="31" spans="1:17" x14ac:dyDescent="0.2">
      <c r="A31" s="39" t="s">
        <v>44</v>
      </c>
      <c r="B31" s="41" t="s">
        <v>30</v>
      </c>
      <c r="C31" s="38">
        <v>54218.489229999999</v>
      </c>
      <c r="D31" s="38">
        <v>1E-4</v>
      </c>
      <c r="E31" s="33">
        <f t="shared" si="0"/>
        <v>19207.998355898064</v>
      </c>
      <c r="F31">
        <f t="shared" si="1"/>
        <v>19208</v>
      </c>
      <c r="G31">
        <f t="shared" si="2"/>
        <v>-1.7428000064683147E-3</v>
      </c>
      <c r="K31">
        <f>+G31</f>
        <v>-1.7428000064683147E-3</v>
      </c>
      <c r="O31">
        <f t="shared" ca="1" si="3"/>
        <v>-1.416000828998894E-3</v>
      </c>
      <c r="Q31" s="2">
        <f t="shared" si="4"/>
        <v>39199.989229999999</v>
      </c>
    </row>
    <row r="32" spans="1:17" x14ac:dyDescent="0.2">
      <c r="A32" s="62" t="s">
        <v>125</v>
      </c>
      <c r="B32" s="64" t="s">
        <v>30</v>
      </c>
      <c r="C32" s="63">
        <v>54943.549899999998</v>
      </c>
      <c r="D32" s="63" t="s">
        <v>60</v>
      </c>
      <c r="E32" s="33">
        <f t="shared" si="0"/>
        <v>19891.997464981228</v>
      </c>
      <c r="F32">
        <f t="shared" si="1"/>
        <v>19892</v>
      </c>
      <c r="G32">
        <f t="shared" si="2"/>
        <v>-2.6872000016737729E-3</v>
      </c>
      <c r="K32">
        <f>+G32</f>
        <v>-2.6872000016737729E-3</v>
      </c>
      <c r="O32">
        <f t="shared" ca="1" si="3"/>
        <v>-1.4716901295036341E-3</v>
      </c>
      <c r="Q32" s="2">
        <f t="shared" si="4"/>
        <v>39925.049899999998</v>
      </c>
    </row>
    <row r="33" spans="1:17" x14ac:dyDescent="0.2">
      <c r="A33" s="42" t="s">
        <v>47</v>
      </c>
      <c r="B33" s="43" t="s">
        <v>48</v>
      </c>
      <c r="C33" s="44">
        <v>55374.452980000002</v>
      </c>
      <c r="D33" s="44">
        <v>2.9999999999999997E-4</v>
      </c>
      <c r="E33" s="33">
        <f t="shared" si="0"/>
        <v>20298.497686295388</v>
      </c>
      <c r="F33">
        <f t="shared" si="1"/>
        <v>20298.5</v>
      </c>
      <c r="G33">
        <f t="shared" si="2"/>
        <v>-2.4526000051992014E-3</v>
      </c>
      <c r="K33">
        <f>+G33</f>
        <v>-2.4526000051992014E-3</v>
      </c>
      <c r="O33">
        <f t="shared" ca="1" si="3"/>
        <v>-1.504786183093074E-3</v>
      </c>
      <c r="Q33" s="2">
        <f t="shared" si="4"/>
        <v>40355.952980000002</v>
      </c>
    </row>
    <row r="34" spans="1:17" x14ac:dyDescent="0.2">
      <c r="A34" s="47" t="s">
        <v>50</v>
      </c>
      <c r="B34" s="47"/>
      <c r="C34" s="48">
        <v>55478.335899999998</v>
      </c>
      <c r="D34" s="48">
        <v>3.0000000000000001E-3</v>
      </c>
      <c r="E34" s="33">
        <f t="shared" si="0"/>
        <v>20396.497519507902</v>
      </c>
      <c r="F34">
        <f t="shared" si="1"/>
        <v>20396.5</v>
      </c>
      <c r="G34">
        <f t="shared" si="2"/>
        <v>-2.6294000053894706E-3</v>
      </c>
      <c r="J34">
        <f>+G34</f>
        <v>-2.6294000053894706E-3</v>
      </c>
      <c r="O34">
        <f t="shared" ca="1" si="3"/>
        <v>-1.5127650594811801E-3</v>
      </c>
      <c r="Q34" s="2">
        <f t="shared" si="4"/>
        <v>40459.835899999998</v>
      </c>
    </row>
    <row r="35" spans="1:17" x14ac:dyDescent="0.2">
      <c r="A35" s="45" t="s">
        <v>49</v>
      </c>
      <c r="B35" s="46" t="s">
        <v>48</v>
      </c>
      <c r="C35" s="45">
        <v>55710.482100000001</v>
      </c>
      <c r="D35" s="45">
        <v>1.9E-3</v>
      </c>
      <c r="E35" s="33">
        <f t="shared" si="0"/>
        <v>20615.496839905525</v>
      </c>
      <c r="F35">
        <f t="shared" si="1"/>
        <v>20615.5</v>
      </c>
      <c r="G35">
        <f t="shared" si="2"/>
        <v>-3.3498000047984533E-3</v>
      </c>
      <c r="J35">
        <f>+G35</f>
        <v>-3.3498000047984533E-3</v>
      </c>
      <c r="O35">
        <f t="shared" ca="1" si="3"/>
        <v>-1.530595405695417E-3</v>
      </c>
      <c r="Q35" s="2">
        <f t="shared" si="4"/>
        <v>40691.982100000001</v>
      </c>
    </row>
    <row r="36" spans="1:17" x14ac:dyDescent="0.2">
      <c r="C36" s="12"/>
      <c r="D36" s="12"/>
    </row>
    <row r="37" spans="1:17" x14ac:dyDescent="0.2">
      <c r="C37" s="12"/>
      <c r="D37" s="12"/>
    </row>
    <row r="38" spans="1:17" x14ac:dyDescent="0.2">
      <c r="C38" s="12"/>
      <c r="D38" s="12"/>
    </row>
    <row r="39" spans="1:17" x14ac:dyDescent="0.2">
      <c r="C39" s="12"/>
      <c r="D39" s="12"/>
    </row>
    <row r="40" spans="1:17" x14ac:dyDescent="0.2">
      <c r="C40" s="12"/>
      <c r="D40" s="12"/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topLeftCell="A3" workbookViewId="0">
      <selection activeCell="A22" sqref="A22:D25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9" t="s">
        <v>51</v>
      </c>
      <c r="I1" s="50" t="s">
        <v>52</v>
      </c>
      <c r="J1" s="51" t="s">
        <v>43</v>
      </c>
    </row>
    <row r="2" spans="1:16" x14ac:dyDescent="0.2">
      <c r="I2" s="52" t="s">
        <v>53</v>
      </c>
      <c r="J2" s="53" t="s">
        <v>54</v>
      </c>
    </row>
    <row r="3" spans="1:16" x14ac:dyDescent="0.2">
      <c r="A3" s="54" t="s">
        <v>55</v>
      </c>
      <c r="I3" s="52" t="s">
        <v>56</v>
      </c>
      <c r="J3" s="53" t="s">
        <v>57</v>
      </c>
    </row>
    <row r="4" spans="1:16" x14ac:dyDescent="0.2">
      <c r="I4" s="52" t="s">
        <v>58</v>
      </c>
      <c r="J4" s="53" t="s">
        <v>57</v>
      </c>
    </row>
    <row r="5" spans="1:16" ht="13.5" thickBot="1" x14ac:dyDescent="0.25">
      <c r="I5" s="55" t="s">
        <v>59</v>
      </c>
      <c r="J5" s="56" t="s">
        <v>60</v>
      </c>
    </row>
    <row r="10" spans="1:16" ht="13.5" thickBot="1" x14ac:dyDescent="0.25"/>
    <row r="11" spans="1:16" ht="12.75" customHeight="1" thickBot="1" x14ac:dyDescent="0.25">
      <c r="A11" s="12" t="str">
        <f t="shared" ref="A11:A25" si="0">P11</f>
        <v> BBS 119 </v>
      </c>
      <c r="B11" s="17" t="str">
        <f t="shared" ref="B11:B25" si="1">IF(H11=INT(H11),"I","II")</f>
        <v>I</v>
      </c>
      <c r="C11" s="12">
        <f t="shared" ref="C11:C25" si="2">1*G11</f>
        <v>51107.296999999999</v>
      </c>
      <c r="D11" s="11" t="str">
        <f t="shared" ref="D11:D25" si="3">VLOOKUP(F11,I$1:J$5,2,FALSE)</f>
        <v>vis</v>
      </c>
      <c r="E11" s="57" t="e">
        <f>VLOOKUP(C11,Active!C$21:E$971,3,FALSE)</f>
        <v>#N/A</v>
      </c>
      <c r="F11" s="17" t="s">
        <v>59</v>
      </c>
      <c r="G11" s="11" t="str">
        <f t="shared" ref="G11:G25" si="4">MID(I11,3,LEN(I11)-3)</f>
        <v>51107.297</v>
      </c>
      <c r="H11" s="12">
        <f t="shared" ref="H11:H25" si="5">1*K11</f>
        <v>16273</v>
      </c>
      <c r="I11" s="58" t="s">
        <v>61</v>
      </c>
      <c r="J11" s="59" t="s">
        <v>62</v>
      </c>
      <c r="K11" s="58">
        <v>16273</v>
      </c>
      <c r="L11" s="58" t="s">
        <v>63</v>
      </c>
      <c r="M11" s="59" t="s">
        <v>64</v>
      </c>
      <c r="N11" s="59" t="s">
        <v>65</v>
      </c>
      <c r="O11" s="60" t="s">
        <v>66</v>
      </c>
      <c r="P11" s="60" t="s">
        <v>67</v>
      </c>
    </row>
    <row r="12" spans="1:16" ht="12.75" customHeight="1" thickBot="1" x14ac:dyDescent="0.25">
      <c r="A12" s="12" t="str">
        <f t="shared" si="0"/>
        <v>IBVS 5263 </v>
      </c>
      <c r="B12" s="17" t="str">
        <f t="shared" si="1"/>
        <v>I</v>
      </c>
      <c r="C12" s="12">
        <f t="shared" si="2"/>
        <v>51394.564100000003</v>
      </c>
      <c r="D12" s="11" t="str">
        <f t="shared" si="3"/>
        <v>vis</v>
      </c>
      <c r="E12" s="57">
        <f>VLOOKUP(C12,Active!C$21:E$971,3,FALSE)</f>
        <v>16543.997461962455</v>
      </c>
      <c r="F12" s="17" t="s">
        <v>59</v>
      </c>
      <c r="G12" s="11" t="str">
        <f t="shared" si="4"/>
        <v>51394.5641</v>
      </c>
      <c r="H12" s="12">
        <f t="shared" si="5"/>
        <v>16544</v>
      </c>
      <c r="I12" s="58" t="s">
        <v>68</v>
      </c>
      <c r="J12" s="59" t="s">
        <v>69</v>
      </c>
      <c r="K12" s="58">
        <v>16544</v>
      </c>
      <c r="L12" s="58" t="s">
        <v>70</v>
      </c>
      <c r="M12" s="59" t="s">
        <v>64</v>
      </c>
      <c r="N12" s="59" t="s">
        <v>65</v>
      </c>
      <c r="O12" s="60" t="s">
        <v>71</v>
      </c>
      <c r="P12" s="61" t="s">
        <v>72</v>
      </c>
    </row>
    <row r="13" spans="1:16" ht="12.75" customHeight="1" thickBot="1" x14ac:dyDescent="0.25">
      <c r="A13" s="12" t="str">
        <f t="shared" si="0"/>
        <v>OEJV 0074 </v>
      </c>
      <c r="B13" s="17" t="str">
        <f t="shared" si="1"/>
        <v>I</v>
      </c>
      <c r="C13" s="12">
        <f t="shared" si="2"/>
        <v>51780.416830000002</v>
      </c>
      <c r="D13" s="11" t="str">
        <f t="shared" si="3"/>
        <v>vis</v>
      </c>
      <c r="E13" s="57">
        <f>VLOOKUP(C13,Active!C$21:E$971,3,FALSE)</f>
        <v>16907.998620041137</v>
      </c>
      <c r="F13" s="17" t="s">
        <v>59</v>
      </c>
      <c r="G13" s="11" t="str">
        <f t="shared" si="4"/>
        <v>51780.41683</v>
      </c>
      <c r="H13" s="12">
        <f t="shared" si="5"/>
        <v>16908</v>
      </c>
      <c r="I13" s="58" t="s">
        <v>73</v>
      </c>
      <c r="J13" s="59" t="s">
        <v>74</v>
      </c>
      <c r="K13" s="58">
        <v>16908</v>
      </c>
      <c r="L13" s="58" t="s">
        <v>75</v>
      </c>
      <c r="M13" s="59" t="s">
        <v>76</v>
      </c>
      <c r="N13" s="59" t="s">
        <v>77</v>
      </c>
      <c r="O13" s="60" t="s">
        <v>78</v>
      </c>
      <c r="P13" s="61" t="s">
        <v>79</v>
      </c>
    </row>
    <row r="14" spans="1:16" ht="12.75" customHeight="1" thickBot="1" x14ac:dyDescent="0.25">
      <c r="A14" s="12" t="str">
        <f t="shared" si="0"/>
        <v>IBVS 5287 </v>
      </c>
      <c r="B14" s="17" t="str">
        <f t="shared" si="1"/>
        <v>I</v>
      </c>
      <c r="C14" s="12">
        <f t="shared" si="2"/>
        <v>51799.496800000001</v>
      </c>
      <c r="D14" s="11" t="str">
        <f t="shared" si="3"/>
        <v>vis</v>
      </c>
      <c r="E14" s="57">
        <f>VLOOKUP(C14,Active!C$21:E$971,3,FALSE)</f>
        <v>16925.998055152315</v>
      </c>
      <c r="F14" s="17" t="s">
        <v>59</v>
      </c>
      <c r="G14" s="11" t="str">
        <f t="shared" si="4"/>
        <v>51799.4968</v>
      </c>
      <c r="H14" s="12">
        <f t="shared" si="5"/>
        <v>16926</v>
      </c>
      <c r="I14" s="58" t="s">
        <v>80</v>
      </c>
      <c r="J14" s="59" t="s">
        <v>81</v>
      </c>
      <c r="K14" s="58">
        <v>16926</v>
      </c>
      <c r="L14" s="58" t="s">
        <v>82</v>
      </c>
      <c r="M14" s="59" t="s">
        <v>64</v>
      </c>
      <c r="N14" s="59" t="s">
        <v>65</v>
      </c>
      <c r="O14" s="60" t="s">
        <v>71</v>
      </c>
      <c r="P14" s="61" t="s">
        <v>83</v>
      </c>
    </row>
    <row r="15" spans="1:16" ht="12.75" customHeight="1" thickBot="1" x14ac:dyDescent="0.25">
      <c r="A15" s="12" t="str">
        <f t="shared" si="0"/>
        <v>OEJV 0074 </v>
      </c>
      <c r="B15" s="17" t="str">
        <f t="shared" si="1"/>
        <v>I</v>
      </c>
      <c r="C15" s="12">
        <f t="shared" si="2"/>
        <v>52487.457499999997</v>
      </c>
      <c r="D15" s="11" t="str">
        <f t="shared" si="3"/>
        <v>vis</v>
      </c>
      <c r="E15" s="57">
        <f>VLOOKUP(C15,Active!C$21:E$971,3,FALSE)</f>
        <v>17574.998235901639</v>
      </c>
      <c r="F15" s="17" t="s">
        <v>59</v>
      </c>
      <c r="G15" s="11" t="str">
        <f t="shared" si="4"/>
        <v>52487.45750</v>
      </c>
      <c r="H15" s="12">
        <f t="shared" si="5"/>
        <v>17575</v>
      </c>
      <c r="I15" s="58" t="s">
        <v>89</v>
      </c>
      <c r="J15" s="59" t="s">
        <v>90</v>
      </c>
      <c r="K15" s="58">
        <v>17575</v>
      </c>
      <c r="L15" s="58" t="s">
        <v>91</v>
      </c>
      <c r="M15" s="59" t="s">
        <v>76</v>
      </c>
      <c r="N15" s="59" t="s">
        <v>77</v>
      </c>
      <c r="O15" s="60" t="s">
        <v>92</v>
      </c>
      <c r="P15" s="61" t="s">
        <v>79</v>
      </c>
    </row>
    <row r="16" spans="1:16" ht="12.75" customHeight="1" thickBot="1" x14ac:dyDescent="0.25">
      <c r="A16" s="12" t="str">
        <f t="shared" si="0"/>
        <v>BAVM 173 </v>
      </c>
      <c r="B16" s="17" t="str">
        <f t="shared" si="1"/>
        <v>I</v>
      </c>
      <c r="C16" s="12">
        <f t="shared" si="2"/>
        <v>53107.576000000001</v>
      </c>
      <c r="D16" s="11" t="str">
        <f t="shared" si="3"/>
        <v>vis</v>
      </c>
      <c r="E16" s="57">
        <f>VLOOKUP(C16,Active!C$21:E$971,3,FALSE)</f>
        <v>18159.998249108798</v>
      </c>
      <c r="F16" s="17" t="s">
        <v>59</v>
      </c>
      <c r="G16" s="11" t="str">
        <f t="shared" si="4"/>
        <v>53107.5760</v>
      </c>
      <c r="H16" s="12">
        <f t="shared" si="5"/>
        <v>18160</v>
      </c>
      <c r="I16" s="58" t="s">
        <v>93</v>
      </c>
      <c r="J16" s="59" t="s">
        <v>94</v>
      </c>
      <c r="K16" s="58">
        <v>18160</v>
      </c>
      <c r="L16" s="58" t="s">
        <v>95</v>
      </c>
      <c r="M16" s="59" t="s">
        <v>64</v>
      </c>
      <c r="N16" s="59" t="s">
        <v>77</v>
      </c>
      <c r="O16" s="60" t="s">
        <v>96</v>
      </c>
      <c r="P16" s="61" t="s">
        <v>97</v>
      </c>
    </row>
    <row r="17" spans="1:16" ht="12.75" customHeight="1" thickBot="1" x14ac:dyDescent="0.25">
      <c r="A17" s="12" t="str">
        <f t="shared" si="0"/>
        <v>BAVM 178 </v>
      </c>
      <c r="B17" s="17" t="str">
        <f t="shared" si="1"/>
        <v>II</v>
      </c>
      <c r="C17" s="12">
        <f t="shared" si="2"/>
        <v>53519.401700000002</v>
      </c>
      <c r="D17" s="11" t="str">
        <f t="shared" si="3"/>
        <v>vis</v>
      </c>
      <c r="E17" s="57">
        <f>VLOOKUP(C17,Active!C$21:E$971,3,FALSE)</f>
        <v>18548.501478635164</v>
      </c>
      <c r="F17" s="17" t="s">
        <v>59</v>
      </c>
      <c r="G17" s="11" t="str">
        <f t="shared" si="4"/>
        <v>53519.4017</v>
      </c>
      <c r="H17" s="12">
        <f t="shared" si="5"/>
        <v>18548.5</v>
      </c>
      <c r="I17" s="58" t="s">
        <v>98</v>
      </c>
      <c r="J17" s="59" t="s">
        <v>99</v>
      </c>
      <c r="K17" s="58">
        <v>18548.5</v>
      </c>
      <c r="L17" s="58" t="s">
        <v>100</v>
      </c>
      <c r="M17" s="59" t="s">
        <v>76</v>
      </c>
      <c r="N17" s="59" t="s">
        <v>101</v>
      </c>
      <c r="O17" s="60" t="s">
        <v>102</v>
      </c>
      <c r="P17" s="61" t="s">
        <v>103</v>
      </c>
    </row>
    <row r="18" spans="1:16" ht="12.75" customHeight="1" thickBot="1" x14ac:dyDescent="0.25">
      <c r="A18" s="12" t="str">
        <f t="shared" si="0"/>
        <v>BAVM 178 </v>
      </c>
      <c r="B18" s="17" t="str">
        <f t="shared" si="1"/>
        <v>I</v>
      </c>
      <c r="C18" s="12">
        <f t="shared" si="2"/>
        <v>53601.555899999999</v>
      </c>
      <c r="D18" s="11" t="str">
        <f t="shared" si="3"/>
        <v>vis</v>
      </c>
      <c r="E18" s="57">
        <f>VLOOKUP(C18,Active!C$21:E$971,3,FALSE)</f>
        <v>18626.003130472709</v>
      </c>
      <c r="F18" s="17" t="s">
        <v>59</v>
      </c>
      <c r="G18" s="11" t="str">
        <f t="shared" si="4"/>
        <v>53601.5559</v>
      </c>
      <c r="H18" s="12">
        <f t="shared" si="5"/>
        <v>18626</v>
      </c>
      <c r="I18" s="58" t="s">
        <v>104</v>
      </c>
      <c r="J18" s="59" t="s">
        <v>105</v>
      </c>
      <c r="K18" s="58" t="s">
        <v>106</v>
      </c>
      <c r="L18" s="58" t="s">
        <v>107</v>
      </c>
      <c r="M18" s="59" t="s">
        <v>76</v>
      </c>
      <c r="N18" s="59" t="s">
        <v>77</v>
      </c>
      <c r="O18" s="60" t="s">
        <v>108</v>
      </c>
      <c r="P18" s="61" t="s">
        <v>103</v>
      </c>
    </row>
    <row r="19" spans="1:16" ht="12.75" customHeight="1" thickBot="1" x14ac:dyDescent="0.25">
      <c r="A19" s="12" t="str">
        <f t="shared" si="0"/>
        <v>IBVS 5713 </v>
      </c>
      <c r="B19" s="17" t="str">
        <f t="shared" si="1"/>
        <v>I</v>
      </c>
      <c r="C19" s="12">
        <f t="shared" si="2"/>
        <v>53900.481800000001</v>
      </c>
      <c r="D19" s="11" t="str">
        <f t="shared" si="3"/>
        <v>vis</v>
      </c>
      <c r="E19" s="57">
        <f>VLOOKUP(C19,Active!C$21:E$971,3,FALSE)</f>
        <v>18908.00028980268</v>
      </c>
      <c r="F19" s="17" t="s">
        <v>59</v>
      </c>
      <c r="G19" s="11" t="str">
        <f t="shared" si="4"/>
        <v>53900.4818</v>
      </c>
      <c r="H19" s="12">
        <f t="shared" si="5"/>
        <v>18908</v>
      </c>
      <c r="I19" s="58" t="s">
        <v>109</v>
      </c>
      <c r="J19" s="59" t="s">
        <v>110</v>
      </c>
      <c r="K19" s="58" t="s">
        <v>111</v>
      </c>
      <c r="L19" s="58" t="s">
        <v>112</v>
      </c>
      <c r="M19" s="59" t="s">
        <v>64</v>
      </c>
      <c r="N19" s="59" t="s">
        <v>65</v>
      </c>
      <c r="O19" s="60" t="s">
        <v>113</v>
      </c>
      <c r="P19" s="61" t="s">
        <v>114</v>
      </c>
    </row>
    <row r="20" spans="1:16" ht="12.75" customHeight="1" thickBot="1" x14ac:dyDescent="0.25">
      <c r="A20" s="12" t="str">
        <f t="shared" si="0"/>
        <v>BAVM 215 </v>
      </c>
      <c r="B20" s="17" t="str">
        <f t="shared" si="1"/>
        <v>II</v>
      </c>
      <c r="C20" s="12">
        <f t="shared" si="2"/>
        <v>55478.335899999998</v>
      </c>
      <c r="D20" s="11" t="str">
        <f t="shared" si="3"/>
        <v>vis</v>
      </c>
      <c r="E20" s="57">
        <f>VLOOKUP(C20,Active!C$21:E$971,3,FALSE)</f>
        <v>20396.497519507902</v>
      </c>
      <c r="F20" s="17" t="s">
        <v>59</v>
      </c>
      <c r="G20" s="11" t="str">
        <f t="shared" si="4"/>
        <v>55478.3359</v>
      </c>
      <c r="H20" s="12">
        <f t="shared" si="5"/>
        <v>20396.5</v>
      </c>
      <c r="I20" s="58" t="s">
        <v>131</v>
      </c>
      <c r="J20" s="59" t="s">
        <v>132</v>
      </c>
      <c r="K20" s="58" t="s">
        <v>133</v>
      </c>
      <c r="L20" s="58" t="s">
        <v>134</v>
      </c>
      <c r="M20" s="59" t="s">
        <v>76</v>
      </c>
      <c r="N20" s="59" t="s">
        <v>101</v>
      </c>
      <c r="O20" s="60" t="s">
        <v>135</v>
      </c>
      <c r="P20" s="61" t="s">
        <v>136</v>
      </c>
    </row>
    <row r="21" spans="1:16" ht="12.75" customHeight="1" thickBot="1" x14ac:dyDescent="0.25">
      <c r="A21" s="12" t="str">
        <f t="shared" si="0"/>
        <v>BAVM 220 </v>
      </c>
      <c r="B21" s="17" t="str">
        <f t="shared" si="1"/>
        <v>II</v>
      </c>
      <c r="C21" s="12">
        <f t="shared" si="2"/>
        <v>55710.482100000001</v>
      </c>
      <c r="D21" s="11" t="str">
        <f t="shared" si="3"/>
        <v>vis</v>
      </c>
      <c r="E21" s="57">
        <f>VLOOKUP(C21,Active!C$21:E$971,3,FALSE)</f>
        <v>20615.496839905525</v>
      </c>
      <c r="F21" s="17" t="s">
        <v>59</v>
      </c>
      <c r="G21" s="11" t="str">
        <f t="shared" si="4"/>
        <v>55710.4821</v>
      </c>
      <c r="H21" s="12">
        <f t="shared" si="5"/>
        <v>20615.5</v>
      </c>
      <c r="I21" s="58" t="s">
        <v>137</v>
      </c>
      <c r="J21" s="59" t="s">
        <v>138</v>
      </c>
      <c r="K21" s="58" t="s">
        <v>139</v>
      </c>
      <c r="L21" s="58" t="s">
        <v>140</v>
      </c>
      <c r="M21" s="59" t="s">
        <v>76</v>
      </c>
      <c r="N21" s="59" t="s">
        <v>101</v>
      </c>
      <c r="O21" s="60" t="s">
        <v>135</v>
      </c>
      <c r="P21" s="61" t="s">
        <v>141</v>
      </c>
    </row>
    <row r="22" spans="1:16" ht="12.75" customHeight="1" thickBot="1" x14ac:dyDescent="0.25">
      <c r="A22" s="12" t="str">
        <f t="shared" si="0"/>
        <v> BBS 124 </v>
      </c>
      <c r="B22" s="17" t="str">
        <f t="shared" si="1"/>
        <v>I</v>
      </c>
      <c r="C22" s="12">
        <f t="shared" si="2"/>
        <v>51814.338000000003</v>
      </c>
      <c r="D22" s="11" t="str">
        <f t="shared" si="3"/>
        <v>vis</v>
      </c>
      <c r="E22" s="57">
        <f>VLOOKUP(C22,Active!C$21:E$971,3,FALSE)</f>
        <v>16939.998769847993</v>
      </c>
      <c r="F22" s="17" t="s">
        <v>59</v>
      </c>
      <c r="G22" s="11" t="str">
        <f t="shared" si="4"/>
        <v>51814.3380</v>
      </c>
      <c r="H22" s="12">
        <f t="shared" si="5"/>
        <v>16940</v>
      </c>
      <c r="I22" s="58" t="s">
        <v>84</v>
      </c>
      <c r="J22" s="59" t="s">
        <v>85</v>
      </c>
      <c r="K22" s="58">
        <v>16940</v>
      </c>
      <c r="L22" s="58" t="s">
        <v>86</v>
      </c>
      <c r="M22" s="59" t="s">
        <v>64</v>
      </c>
      <c r="N22" s="59" t="s">
        <v>65</v>
      </c>
      <c r="O22" s="60" t="s">
        <v>87</v>
      </c>
      <c r="P22" s="60" t="s">
        <v>88</v>
      </c>
    </row>
    <row r="23" spans="1:16" ht="12.75" customHeight="1" thickBot="1" x14ac:dyDescent="0.25">
      <c r="A23" s="12" t="str">
        <f t="shared" si="0"/>
        <v>OEJV 0107 </v>
      </c>
      <c r="B23" s="17" t="str">
        <f t="shared" si="1"/>
        <v>I</v>
      </c>
      <c r="C23" s="12">
        <f t="shared" si="2"/>
        <v>54218.489200000004</v>
      </c>
      <c r="D23" s="11" t="str">
        <f t="shared" si="3"/>
        <v>vis</v>
      </c>
      <c r="E23" s="57" t="e">
        <f>VLOOKUP(C23,Active!C$21:E$971,3,FALSE)</f>
        <v>#N/A</v>
      </c>
      <c r="F23" s="17" t="s">
        <v>59</v>
      </c>
      <c r="G23" s="11" t="str">
        <f t="shared" si="4"/>
        <v>54218.4892</v>
      </c>
      <c r="H23" s="12">
        <f t="shared" si="5"/>
        <v>19208</v>
      </c>
      <c r="I23" s="58" t="s">
        <v>115</v>
      </c>
      <c r="J23" s="59" t="s">
        <v>116</v>
      </c>
      <c r="K23" s="58" t="s">
        <v>117</v>
      </c>
      <c r="L23" s="58" t="s">
        <v>118</v>
      </c>
      <c r="M23" s="59" t="s">
        <v>76</v>
      </c>
      <c r="N23" s="59" t="s">
        <v>119</v>
      </c>
      <c r="O23" s="60" t="s">
        <v>120</v>
      </c>
      <c r="P23" s="61" t="s">
        <v>121</v>
      </c>
    </row>
    <row r="24" spans="1:16" ht="12.75" customHeight="1" thickBot="1" x14ac:dyDescent="0.25">
      <c r="A24" s="12" t="str">
        <f t="shared" si="0"/>
        <v>BAVM 212 </v>
      </c>
      <c r="B24" s="17" t="str">
        <f t="shared" si="1"/>
        <v>I</v>
      </c>
      <c r="C24" s="12">
        <f t="shared" si="2"/>
        <v>54943.549899999998</v>
      </c>
      <c r="D24" s="11" t="str">
        <f t="shared" si="3"/>
        <v>vis</v>
      </c>
      <c r="E24" s="57">
        <f>VLOOKUP(C24,Active!C$21:E$971,3,FALSE)</f>
        <v>19891.997464981228</v>
      </c>
      <c r="F24" s="17" t="s">
        <v>59</v>
      </c>
      <c r="G24" s="11" t="str">
        <f t="shared" si="4"/>
        <v>54943.5499</v>
      </c>
      <c r="H24" s="12">
        <f t="shared" si="5"/>
        <v>19892</v>
      </c>
      <c r="I24" s="58" t="s">
        <v>122</v>
      </c>
      <c r="J24" s="59" t="s">
        <v>123</v>
      </c>
      <c r="K24" s="58" t="s">
        <v>124</v>
      </c>
      <c r="L24" s="58" t="s">
        <v>70</v>
      </c>
      <c r="M24" s="59" t="s">
        <v>76</v>
      </c>
      <c r="N24" s="59" t="s">
        <v>77</v>
      </c>
      <c r="O24" s="60" t="s">
        <v>96</v>
      </c>
      <c r="P24" s="61" t="s">
        <v>125</v>
      </c>
    </row>
    <row r="25" spans="1:16" ht="12.75" customHeight="1" thickBot="1" x14ac:dyDescent="0.25">
      <c r="A25" s="12" t="str">
        <f t="shared" si="0"/>
        <v>OEJV 0137 </v>
      </c>
      <c r="B25" s="17" t="str">
        <f t="shared" si="1"/>
        <v>II</v>
      </c>
      <c r="C25" s="12">
        <f t="shared" si="2"/>
        <v>55374.452899999997</v>
      </c>
      <c r="D25" s="11" t="str">
        <f t="shared" si="3"/>
        <v>vis</v>
      </c>
      <c r="E25" s="57" t="e">
        <f>VLOOKUP(C25,Active!C$21:E$971,3,FALSE)</f>
        <v>#N/A</v>
      </c>
      <c r="F25" s="17" t="s">
        <v>59</v>
      </c>
      <c r="G25" s="11" t="str">
        <f t="shared" si="4"/>
        <v>55374.4529</v>
      </c>
      <c r="H25" s="12">
        <f t="shared" si="5"/>
        <v>20298.5</v>
      </c>
      <c r="I25" s="58" t="s">
        <v>126</v>
      </c>
      <c r="J25" s="59" t="s">
        <v>127</v>
      </c>
      <c r="K25" s="58" t="s">
        <v>128</v>
      </c>
      <c r="L25" s="58" t="s">
        <v>129</v>
      </c>
      <c r="M25" s="59" t="s">
        <v>76</v>
      </c>
      <c r="N25" s="59" t="s">
        <v>119</v>
      </c>
      <c r="O25" s="60" t="s">
        <v>120</v>
      </c>
      <c r="P25" s="61" t="s">
        <v>130</v>
      </c>
    </row>
    <row r="26" spans="1:16" x14ac:dyDescent="0.2">
      <c r="B26" s="17"/>
      <c r="F26" s="17"/>
    </row>
    <row r="27" spans="1:16" x14ac:dyDescent="0.2">
      <c r="B27" s="17"/>
      <c r="F27" s="17"/>
    </row>
    <row r="28" spans="1:16" x14ac:dyDescent="0.2">
      <c r="B28" s="17"/>
      <c r="F28" s="17"/>
    </row>
    <row r="29" spans="1:16" x14ac:dyDescent="0.2">
      <c r="B29" s="17"/>
      <c r="F29" s="17"/>
    </row>
    <row r="30" spans="1:16" x14ac:dyDescent="0.2">
      <c r="B30" s="17"/>
      <c r="F30" s="17"/>
    </row>
    <row r="31" spans="1:16" x14ac:dyDescent="0.2">
      <c r="B31" s="17"/>
      <c r="F31" s="17"/>
    </row>
    <row r="32" spans="1:1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</sheetData>
  <phoneticPr fontId="7" type="noConversion"/>
  <hyperlinks>
    <hyperlink ref="P12" r:id="rId1" display="http://www.konkoly.hu/cgi-bin/IBVS?5263"/>
    <hyperlink ref="P13" r:id="rId2" display="http://var.astro.cz/oejv/issues/oejv0074.pdf"/>
    <hyperlink ref="P14" r:id="rId3" display="http://www.konkoly.hu/cgi-bin/IBVS?5287"/>
    <hyperlink ref="P15" r:id="rId4" display="http://var.astro.cz/oejv/issues/oejv0074.pdf"/>
    <hyperlink ref="P16" r:id="rId5" display="http://www.bav-astro.de/sfs/BAVM_link.php?BAVMnr=173"/>
    <hyperlink ref="P17" r:id="rId6" display="http://www.bav-astro.de/sfs/BAVM_link.php?BAVMnr=178"/>
    <hyperlink ref="P18" r:id="rId7" display="http://www.bav-astro.de/sfs/BAVM_link.php?BAVMnr=178"/>
    <hyperlink ref="P19" r:id="rId8" display="http://www.konkoly.hu/cgi-bin/IBVS?5713"/>
    <hyperlink ref="P23" r:id="rId9" display="http://var.astro.cz/oejv/issues/oejv0107.pdf"/>
    <hyperlink ref="P24" r:id="rId10" display="http://www.bav-astro.de/sfs/BAVM_link.php?BAVMnr=212"/>
    <hyperlink ref="P25" r:id="rId11" display="http://var.astro.cz/oejv/issues/oejv0137.pdf"/>
    <hyperlink ref="P20" r:id="rId12" display="http://www.bav-astro.de/sfs/BAVM_link.php?BAVMnr=215"/>
    <hyperlink ref="P21" r:id="rId13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2024-02-02T03:50:27Z</dcterms:modified>
</cp:coreProperties>
</file>