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7625DEF-2A9C-4EDF-B14F-ABFFB6AF210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1" i="1"/>
  <c r="F21" i="1"/>
  <c r="G21" i="1"/>
  <c r="I21" i="1"/>
  <c r="C8" i="1"/>
  <c r="E22" i="1"/>
  <c r="F22" i="1"/>
  <c r="G22" i="1"/>
  <c r="I22" i="1"/>
  <c r="D9" i="1"/>
  <c r="C9" i="1"/>
  <c r="E23" i="1"/>
  <c r="F23" i="1"/>
  <c r="G23" i="1"/>
  <c r="H23" i="1"/>
  <c r="E24" i="1"/>
  <c r="F24" i="1"/>
  <c r="G24" i="1"/>
  <c r="K24" i="1"/>
  <c r="E25" i="1"/>
  <c r="F25" i="1"/>
  <c r="G25" i="1"/>
  <c r="K25" i="1"/>
  <c r="E26" i="1"/>
  <c r="F26" i="1"/>
  <c r="G26" i="1"/>
  <c r="J26" i="1"/>
  <c r="E27" i="1"/>
  <c r="F27" i="1"/>
  <c r="G27" i="1"/>
  <c r="J27" i="1"/>
  <c r="E28" i="1"/>
  <c r="F28" i="1"/>
  <c r="G28" i="1"/>
  <c r="K28" i="1"/>
  <c r="E29" i="1"/>
  <c r="F29" i="1"/>
  <c r="G29" i="1"/>
  <c r="K29" i="1"/>
  <c r="E30" i="1"/>
  <c r="F30" i="1"/>
  <c r="G30" i="1"/>
  <c r="K30" i="1"/>
  <c r="Q21" i="1"/>
  <c r="Q22" i="1"/>
  <c r="G16" i="2"/>
  <c r="C16" i="2"/>
  <c r="E16" i="2"/>
  <c r="G19" i="2"/>
  <c r="C19" i="2"/>
  <c r="E19" i="2"/>
  <c r="G18" i="2"/>
  <c r="C18" i="2"/>
  <c r="E18" i="2"/>
  <c r="G17" i="2"/>
  <c r="C17" i="2"/>
  <c r="E17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6" i="2"/>
  <c r="B16" i="2"/>
  <c r="D16" i="2"/>
  <c r="A16" i="2"/>
  <c r="H19" i="2"/>
  <c r="B19" i="2"/>
  <c r="D19" i="2"/>
  <c r="A19" i="2"/>
  <c r="H18" i="2"/>
  <c r="B18" i="2"/>
  <c r="D18" i="2"/>
  <c r="A18" i="2"/>
  <c r="H17" i="2"/>
  <c r="B17" i="2"/>
  <c r="D17" i="2"/>
  <c r="A17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27" i="1"/>
  <c r="Q26" i="1"/>
  <c r="Q30" i="1"/>
  <c r="F16" i="1"/>
  <c r="F17" i="1" s="1"/>
  <c r="C17" i="1"/>
  <c r="Q28" i="1"/>
  <c r="Q29" i="1"/>
  <c r="Q24" i="1"/>
  <c r="Q25" i="1"/>
  <c r="Q23" i="1"/>
  <c r="C12" i="1"/>
  <c r="C11" i="1"/>
  <c r="O27" i="1" l="1"/>
  <c r="O29" i="1"/>
  <c r="O23" i="1"/>
  <c r="O30" i="1"/>
  <c r="O28" i="1"/>
  <c r="C15" i="1"/>
  <c r="O26" i="1"/>
  <c r="O25" i="1"/>
  <c r="O24" i="1"/>
  <c r="O22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<sst xmlns="http://schemas.openxmlformats.org/spreadsheetml/2006/main" count="150" uniqueCount="101">
  <si>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</si>
  <si>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</si>
  <si>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</si>
  <si>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</si>
  <si>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</si>
  <si>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</si>
  <si>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</si>
  <si>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</si>
  <si>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</si>
  <si>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</si>
  <si>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</si>
  <si>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</si>
  <si>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</si>
  <si>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</si>
  <si>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</si>
  <si>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</si>
  <si>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</si>
  <si>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</si>
  <si>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</si>
  <si>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</si>
  <si>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</si>
  <si>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</si>
  <si>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</si>
  <si>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</si>
  <si>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</si>
  <si>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</si>
  <si>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</si>
  <si>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</si>
  <si>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EW/KW</t>
  </si>
  <si>
    <t>IBVS 5263</t>
  </si>
  <si>
    <t>I</t>
  </si>
  <si>
    <t>IBVS 5287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</si>
  <si>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</si>
  <si>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</si>
  <si>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</si>
  <si>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</si>
  <si>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</si>
  <si>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</si>
  <si>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</si>
  <si>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</si>
  <si>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CCD</t>
  </si>
  <si>
    <t>Add cycle</t>
  </si>
  <si>
    <t>Old Cycle</t>
  </si>
  <si>
    <t>OEJV 0137</t>
  </si>
  <si>
    <t>IBVS 5918</t>
  </si>
  <si>
    <t>IBVS 6010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</si>
  <si>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</si>
  <si>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</si>
  <si>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</si>
  <si>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</si>
  <si>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</si>
  <si>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</si>
  <si>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</si>
  <si>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</si>
  <si>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</si>
  <si>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</si>
  <si>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2451399.3648 </t>
  </si>
  <si>
    <t> 08.08.1999 20:45 </t>
  </si>
  <si>
    <t> 0.0503 </t>
  </si>
  <si>
    <t>E </t>
  </si>
  <si>
    <t>?</t>
  </si>
  <si>
    <t> M.Zejda </t>
  </si>
  <si>
    <t>IBVS 5263 </t>
  </si>
  <si>
    <t>2451635.6309 </t>
  </si>
  <si>
    <t> 01.04.2000 03:08 </t>
  </si>
  <si>
    <t> 0.0535 </t>
  </si>
  <si>
    <t>IBVS 5287 </t>
  </si>
  <si>
    <t>2452123.49430 </t>
  </si>
  <si>
    <t> 01.08.2001 23:51 </t>
  </si>
  <si>
    <t> 0.05418 </t>
  </si>
  <si>
    <t>C </t>
  </si>
  <si>
    <t>o</t>
  </si>
  <si>
    <t> K.Koss </t>
  </si>
  <si>
    <t>OEJV 0074 </t>
  </si>
  <si>
    <t>2452490.48110 </t>
  </si>
  <si>
    <t> 03.08.2002 23:32 </t>
  </si>
  <si>
    <t> 0.04843 </t>
  </si>
  <si>
    <t>2454908.6273 </t>
  </si>
  <si>
    <t> 18.03.2009 03:03 </t>
  </si>
  <si>
    <t> 0.0607 </t>
  </si>
  <si>
    <t> W.Moschner &amp; P.Frank </t>
  </si>
  <si>
    <t>BAVM 209 </t>
  </si>
  <si>
    <t>2455074.4128 </t>
  </si>
  <si>
    <t> 30.08.2009 21:54 </t>
  </si>
  <si>
    <t> 0.0605 </t>
  </si>
  <si>
    <t> U.Schmidt </t>
  </si>
  <si>
    <t>BAVM 212 </t>
  </si>
  <si>
    <t>2455074.5957 </t>
  </si>
  <si>
    <t> 31.08.2009 02:17 </t>
  </si>
  <si>
    <t> 0.0608 </t>
  </si>
  <si>
    <t>2455380.4224 </t>
  </si>
  <si>
    <t> 02.07.2010 22:08 </t>
  </si>
  <si>
    <t> 0.0604 </t>
  </si>
  <si>
    <t> J.Trnka </t>
  </si>
  <si>
    <t>OEJV 0137 </t>
  </si>
  <si>
    <t>2455642.6120 </t>
  </si>
  <si>
    <t> 22.03.2011 02:41 </t>
  </si>
  <si>
    <t> 0.0603 </t>
  </si>
  <si>
    <t>BAVM 220 </t>
  </si>
  <si>
    <t>II</t>
  </si>
  <si>
    <t>V0906 Cyg /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</si>
</sst>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V0906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63291</c:v>
                </c:pt>
                <c:pt idx="1">
                  <c:v>63291.5</c:v>
                </c:pt>
                <c:pt idx="2">
                  <c:v>0</c:v>
                </c:pt>
                <c:pt idx="3">
                  <c:v>53227</c:v>
                </c:pt>
                <c:pt idx="4">
                  <c:v>53874</c:v>
                </c:pt>
                <c:pt idx="5">
                  <c:v>62837</c:v>
                </c:pt>
                <c:pt idx="6">
                  <c:v>64847</c:v>
                </c:pt>
                <c:pt idx="7">
                  <c:v>55210</c:v>
                </c:pt>
                <c:pt idx="8">
                  <c:v>56215</c:v>
                </c:pt>
                <c:pt idx="9">
                  <c:v>64129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2C-4AB1-A366-4A5CB358C4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63291</c:v>
                </c:pt>
                <c:pt idx="1">
                  <c:v>63291.5</c:v>
                </c:pt>
                <c:pt idx="2">
                  <c:v>0</c:v>
                </c:pt>
                <c:pt idx="3">
                  <c:v>53227</c:v>
                </c:pt>
                <c:pt idx="4">
                  <c:v>53874</c:v>
                </c:pt>
                <c:pt idx="5">
                  <c:v>62837</c:v>
                </c:pt>
                <c:pt idx="6">
                  <c:v>64847</c:v>
                </c:pt>
                <c:pt idx="7">
                  <c:v>55210</c:v>
                </c:pt>
                <c:pt idx="8">
                  <c:v>56215</c:v>
                </c:pt>
                <c:pt idx="9">
                  <c:v>64129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6.0467516996141057E-2</c:v>
                </c:pt>
                <c:pt idx="1">
                  <c:v>6.0784160501498263E-2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2C-4AB1-A366-4A5CB358C4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63291</c:v>
                </c:pt>
                <c:pt idx="1">
                  <c:v>63291.5</c:v>
                </c:pt>
                <c:pt idx="2">
                  <c:v>0</c:v>
                </c:pt>
                <c:pt idx="3">
                  <c:v>53227</c:v>
                </c:pt>
                <c:pt idx="4">
                  <c:v>53874</c:v>
                </c:pt>
                <c:pt idx="5">
                  <c:v>62837</c:v>
                </c:pt>
                <c:pt idx="6">
                  <c:v>64847</c:v>
                </c:pt>
                <c:pt idx="7">
                  <c:v>55210</c:v>
                </c:pt>
                <c:pt idx="8">
                  <c:v>56215</c:v>
                </c:pt>
                <c:pt idx="9">
                  <c:v>64129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6.0655219007458072E-2</c:v>
                </c:pt>
                <c:pt idx="6">
                  <c:v>6.0262089005846065E-2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2C-4AB1-A366-4A5CB358C4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63291</c:v>
                </c:pt>
                <c:pt idx="1">
                  <c:v>63291.5</c:v>
                </c:pt>
                <c:pt idx="2">
                  <c:v>0</c:v>
                </c:pt>
                <c:pt idx="3">
                  <c:v>53227</c:v>
                </c:pt>
                <c:pt idx="4">
                  <c:v>53874</c:v>
                </c:pt>
                <c:pt idx="5">
                  <c:v>62837</c:v>
                </c:pt>
                <c:pt idx="6">
                  <c:v>64847</c:v>
                </c:pt>
                <c:pt idx="7">
                  <c:v>55210</c:v>
                </c:pt>
                <c:pt idx="8">
                  <c:v>56215</c:v>
                </c:pt>
                <c:pt idx="9">
                  <c:v>64129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5.0267149003047962E-2</c:v>
                </c:pt>
                <c:pt idx="4">
                  <c:v>5.3503837996686343E-2</c:v>
                </c:pt>
                <c:pt idx="7">
                  <c:v>5.4175270000996534E-2</c:v>
                </c:pt>
                <c:pt idx="8">
                  <c:v>4.8428704998514149E-2</c:v>
                </c:pt>
                <c:pt idx="9">
                  <c:v>6.0452022997196764E-2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2C-4AB1-A366-4A5CB358C4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63291</c:v>
                </c:pt>
                <c:pt idx="1">
                  <c:v>63291.5</c:v>
                </c:pt>
                <c:pt idx="2">
                  <c:v>0</c:v>
                </c:pt>
                <c:pt idx="3">
                  <c:v>53227</c:v>
                </c:pt>
                <c:pt idx="4">
                  <c:v>53874</c:v>
                </c:pt>
                <c:pt idx="5">
                  <c:v>62837</c:v>
                </c:pt>
                <c:pt idx="6">
                  <c:v>64847</c:v>
                </c:pt>
                <c:pt idx="7">
                  <c:v>55210</c:v>
                </c:pt>
                <c:pt idx="8">
                  <c:v>56215</c:v>
                </c:pt>
                <c:pt idx="9">
                  <c:v>64129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2C-4AB1-A366-4A5CB358C4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63291</c:v>
                </c:pt>
                <c:pt idx="1">
                  <c:v>63291.5</c:v>
                </c:pt>
                <c:pt idx="2">
                  <c:v>0</c:v>
                </c:pt>
                <c:pt idx="3">
                  <c:v>53227</c:v>
                </c:pt>
                <c:pt idx="4">
                  <c:v>53874</c:v>
                </c:pt>
                <c:pt idx="5">
                  <c:v>62837</c:v>
                </c:pt>
                <c:pt idx="6">
                  <c:v>64847</c:v>
                </c:pt>
                <c:pt idx="7">
                  <c:v>55210</c:v>
                </c:pt>
                <c:pt idx="8">
                  <c:v>56215</c:v>
                </c:pt>
                <c:pt idx="9">
                  <c:v>64129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2C-4AB1-A366-4A5CB358C4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7.1000000000000004E-3</c:v>
                  </c:pt>
                  <c:pt idx="4">
                    <c:v>3.2000000000000002E-3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0</c:v>
                  </c:pt>
                  <c:pt idx="8">
                    <c:v>0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63291</c:v>
                </c:pt>
                <c:pt idx="1">
                  <c:v>63291.5</c:v>
                </c:pt>
                <c:pt idx="2">
                  <c:v>0</c:v>
                </c:pt>
                <c:pt idx="3">
                  <c:v>53227</c:v>
                </c:pt>
                <c:pt idx="4">
                  <c:v>53874</c:v>
                </c:pt>
                <c:pt idx="5">
                  <c:v>62837</c:v>
                </c:pt>
                <c:pt idx="6">
                  <c:v>64847</c:v>
                </c:pt>
                <c:pt idx="7">
                  <c:v>55210</c:v>
                </c:pt>
                <c:pt idx="8">
                  <c:v>56215</c:v>
                </c:pt>
                <c:pt idx="9">
                  <c:v>64129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2C-4AB1-A366-4A5CB358C4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63291</c:v>
                </c:pt>
                <c:pt idx="1">
                  <c:v>63291.5</c:v>
                </c:pt>
                <c:pt idx="2">
                  <c:v>0</c:v>
                </c:pt>
                <c:pt idx="3">
                  <c:v>53227</c:v>
                </c:pt>
                <c:pt idx="4">
                  <c:v>53874</c:v>
                </c:pt>
                <c:pt idx="5">
                  <c:v>62837</c:v>
                </c:pt>
                <c:pt idx="6">
                  <c:v>64847</c:v>
                </c:pt>
                <c:pt idx="7">
                  <c:v>55210</c:v>
                </c:pt>
                <c:pt idx="8">
                  <c:v>56215</c:v>
                </c:pt>
                <c:pt idx="9">
                  <c:v>64129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5.9987679863891682E-2</c:v>
                </c:pt>
                <c:pt idx="1">
                  <c:v>5.9988153258246898E-2</c:v>
                </c:pt>
                <c:pt idx="2">
                  <c:v>6.4475591788605568E-5</c:v>
                </c:pt>
                <c:pt idx="3">
                  <c:v>5.045919828207996E-2</c:v>
                </c:pt>
                <c:pt idx="4">
                  <c:v>5.1071770577731018E-2</c:v>
                </c:pt>
                <c:pt idx="5">
                  <c:v>5.9557837789354466E-2</c:v>
                </c:pt>
                <c:pt idx="6">
                  <c:v>6.1460883097327591E-2</c:v>
                </c:pt>
                <c:pt idx="7">
                  <c:v>5.233668029487136E-2</c:v>
                </c:pt>
                <c:pt idx="8">
                  <c:v>5.3288202948857923E-2</c:v>
                </c:pt>
                <c:pt idx="9">
                  <c:v>6.0781088803235697E-2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2C-4AB1-A366-4A5CB358C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743368"/>
        <c:axId val="1"/>
      </c:scatterChart>
      <c:valAx>
        <c:axId val="580743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743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516979804018842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16</xdr:col>
      <xdr:colOff>457200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9111AE4-76D0-89BD-D8C5-E3262E586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5287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209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100</v>
      </c>
    </row>
    <row r="2" spans="1:6" x14ac:dyDescent="0.2">
      <c r="A2" t="s">
        <v>24</v>
      </c>
      <c r="B2" s="9" t="s">
        <v>28</v>
      </c>
    </row>
    <row r="4" spans="1:6" ht="14.25" thickTop="1" thickBot="1" x14ac:dyDescent="0.25">
      <c r="A4" s="6" t="s">
        <v>0</v>
      </c>
      <c r="C4" s="3">
        <v>31962.585899999998</v>
      </c>
      <c r="D4" s="4">
        <v>0.36516671299999998</v>
      </c>
    </row>
    <row r="5" spans="1:6" ht="13.5" thickTop="1" x14ac:dyDescent="0.2">
      <c r="A5" s="14" t="s">
        <v>33</v>
      </c>
      <c r="B5" s="9"/>
      <c r="C5" s="15">
        <v>-9.5</v>
      </c>
      <c r="D5" s="9" t="s">
        <v>34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31962.585899999998</v>
      </c>
    </row>
    <row r="8" spans="1:6" x14ac:dyDescent="0.2">
      <c r="A8" t="s">
        <v>3</v>
      </c>
      <c r="C8">
        <f>+D4</f>
        <v>0.36516671299999998</v>
      </c>
    </row>
    <row r="9" spans="1:6" x14ac:dyDescent="0.2">
      <c r="A9" s="29" t="s">
        <v>38</v>
      </c>
      <c r="B9" s="30">
        <v>21</v>
      </c>
      <c r="C9" s="18" t="str">
        <f>"F"&amp;B9</f>
        <v>F21</v>
      </c>
      <c r="D9" s="19" t="str">
        <f>"G"&amp;B9</f>
        <v>G21</v>
      </c>
    </row>
    <row r="10" spans="1:6" ht="13.5" thickBot="1" x14ac:dyDescent="0.25">
      <c r="A10" s="9"/>
      <c r="B10" s="9"/>
      <c r="C10" s="5" t="s">
        <v>20</v>
      </c>
      <c r="D10" s="5" t="s">
        <v>21</v>
      </c>
      <c r="E10" s="9"/>
    </row>
    <row r="11" spans="1:6" x14ac:dyDescent="0.2">
      <c r="A11" s="9" t="s">
        <v>16</v>
      </c>
      <c r="B11" s="9"/>
      <c r="C11" s="16">
        <f ca="1">INTERCEPT(INDIRECT($D$9):G991,INDIRECT($C$9):F991)</f>
        <v>6.4475591788605568E-5</v>
      </c>
      <c r="D11" s="17"/>
      <c r="E11" s="9"/>
    </row>
    <row r="12" spans="1:6" x14ac:dyDescent="0.2">
      <c r="A12" s="9" t="s">
        <v>17</v>
      </c>
      <c r="B12" s="9"/>
      <c r="C12" s="16">
        <f ca="1">SLOPE(INDIRECT($D$9):G991,INDIRECT($C$9):F991)</f>
        <v>9.4678871043439153E-7</v>
      </c>
      <c r="D12" s="17"/>
      <c r="E12" s="9"/>
    </row>
    <row r="13" spans="1:6" x14ac:dyDescent="0.2">
      <c r="A13" s="9" t="s">
        <v>19</v>
      </c>
      <c r="B13" s="9"/>
      <c r="C13" s="17" t="s">
        <v>14</v>
      </c>
    </row>
    <row r="14" spans="1:6" x14ac:dyDescent="0.2">
      <c r="A14" s="9"/>
      <c r="B14" s="9"/>
      <c r="C14" s="9"/>
    </row>
    <row r="15" spans="1:6" x14ac:dyDescent="0.2">
      <c r="A15" s="20" t="s">
        <v>18</v>
      </c>
      <c r="B15" s="9"/>
      <c r="C15" s="21">
        <f ca="1">(C7+C11)+(C8+C12)*INT(MAX(F21:F3532))</f>
        <v>55642.61319879409</v>
      </c>
      <c r="E15" s="22" t="s">
        <v>41</v>
      </c>
      <c r="F15" s="15">
        <v>1</v>
      </c>
    </row>
    <row r="16" spans="1:6" x14ac:dyDescent="0.2">
      <c r="A16" s="24" t="s">
        <v>4</v>
      </c>
      <c r="B16" s="9"/>
      <c r="C16" s="25">
        <f ca="1">+C8+C12</f>
        <v>0.36516765978871041</v>
      </c>
      <c r="E16" s="22" t="s">
        <v>35</v>
      </c>
      <c r="F16" s="23">
        <f ca="1">NOW()+15018.5+$C$5/24</f>
        <v>60342.708112731481</v>
      </c>
    </row>
    <row r="17" spans="1:17" ht="13.5" thickBot="1" x14ac:dyDescent="0.25">
      <c r="A17" s="22" t="s">
        <v>32</v>
      </c>
      <c r="B17" s="9"/>
      <c r="C17" s="9">
        <f>COUNT(C21:C2190)</f>
        <v>10</v>
      </c>
      <c r="E17" s="22" t="s">
        <v>42</v>
      </c>
      <c r="F17" s="23">
        <f ca="1">ROUND(2*(F16-$C$7)/$C$8,0)/2+F15</f>
        <v>77719.5</v>
      </c>
    </row>
    <row r="18" spans="1:17" ht="14.25" thickTop="1" thickBot="1" x14ac:dyDescent="0.25">
      <c r="A18" s="24" t="s">
        <v>5</v>
      </c>
      <c r="B18" s="9"/>
      <c r="C18" s="27">
        <f ca="1">+C15</f>
        <v>55642.61319879409</v>
      </c>
      <c r="D18" s="28">
        <f ca="1">+C16</f>
        <v>0.36516765978871041</v>
      </c>
      <c r="E18" s="22" t="s">
        <v>36</v>
      </c>
      <c r="F18" s="19">
        <f ca="1">ROUND(2*(F16-$C$15)/$C$16,0)/2+F15</f>
        <v>12872</v>
      </c>
    </row>
    <row r="19" spans="1:17" ht="13.5" thickTop="1" x14ac:dyDescent="0.2">
      <c r="E19" s="22" t="s">
        <v>37</v>
      </c>
      <c r="F19" s="26">
        <f ca="1">+$C$15+$C$16*F18-15018.5-$C$5/24</f>
        <v>45324.947148927706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52</v>
      </c>
      <c r="I20" s="8" t="s">
        <v>55</v>
      </c>
      <c r="J20" s="8" t="s">
        <v>49</v>
      </c>
      <c r="K20" s="8" t="s">
        <v>40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s="52" t="s">
        <v>86</v>
      </c>
      <c r="B21" s="54" t="s">
        <v>30</v>
      </c>
      <c r="C21" s="53">
        <v>55074.412799999998</v>
      </c>
      <c r="D21" s="53" t="s">
        <v>55</v>
      </c>
      <c r="E21">
        <f t="shared" ref="E21:E30" si="0">+(C21-C$7)/C$8</f>
        <v>63291.165588797798</v>
      </c>
      <c r="F21">
        <f t="shared" ref="F21:F30" si="1">ROUND(2*E21,0)/2</f>
        <v>63291</v>
      </c>
      <c r="G21">
        <f t="shared" ref="G21:G30" si="2">+C21-(C$7+F21*C$8)</f>
        <v>6.0467516996141057E-2</v>
      </c>
      <c r="I21">
        <f>+G21</f>
        <v>6.0467516996141057E-2</v>
      </c>
      <c r="O21">
        <f t="shared" ref="O21:O30" ca="1" si="3">+C$11+C$12*$F21</f>
        <v>5.9987679863891682E-2</v>
      </c>
      <c r="Q21" s="2">
        <f t="shared" ref="Q21:Q30" si="4">+C21-15018.5</f>
        <v>40055.912799999998</v>
      </c>
    </row>
    <row r="22" spans="1:17" x14ac:dyDescent="0.2">
      <c r="A22" s="52" t="s">
        <v>86</v>
      </c>
      <c r="B22" s="54" t="s">
        <v>99</v>
      </c>
      <c r="C22" s="53">
        <v>55074.595699999998</v>
      </c>
      <c r="D22" s="53" t="s">
        <v>55</v>
      </c>
      <c r="E22">
        <f t="shared" si="0"/>
        <v>63291.666455918181</v>
      </c>
      <c r="F22">
        <f t="shared" si="1"/>
        <v>63291.5</v>
      </c>
      <c r="G22">
        <f t="shared" si="2"/>
        <v>6.0784160501498263E-2</v>
      </c>
      <c r="I22">
        <f>+G22</f>
        <v>6.0784160501498263E-2</v>
      </c>
      <c r="O22">
        <f t="shared" ca="1" si="3"/>
        <v>5.9988153258246898E-2</v>
      </c>
      <c r="Q22" s="2">
        <f t="shared" si="4"/>
        <v>40056.095699999998</v>
      </c>
    </row>
    <row r="23" spans="1:17" x14ac:dyDescent="0.2">
      <c r="A23" t="s">
        <v>12</v>
      </c>
      <c r="C23" s="12">
        <v>31962.585899999998</v>
      </c>
      <c r="D23" s="12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H23">
        <f>+G23</f>
        <v>0</v>
      </c>
      <c r="O23">
        <f t="shared" ca="1" si="3"/>
        <v>6.4475591788605568E-5</v>
      </c>
      <c r="Q23" s="2">
        <f t="shared" si="4"/>
        <v>16944.085899999998</v>
      </c>
    </row>
    <row r="24" spans="1:17" x14ac:dyDescent="0.2">
      <c r="A24" s="10" t="s">
        <v>29</v>
      </c>
      <c r="B24" s="11" t="s">
        <v>30</v>
      </c>
      <c r="C24" s="13">
        <v>51399.364800000003</v>
      </c>
      <c r="D24" s="13">
        <v>7.1000000000000004E-3</v>
      </c>
      <c r="E24">
        <f t="shared" si="0"/>
        <v>53227.13765534266</v>
      </c>
      <c r="F24">
        <f t="shared" si="1"/>
        <v>53227</v>
      </c>
      <c r="G24">
        <f t="shared" si="2"/>
        <v>5.0267149003047962E-2</v>
      </c>
      <c r="K24">
        <f>+G24</f>
        <v>5.0267149003047962E-2</v>
      </c>
      <c r="O24">
        <f t="shared" ca="1" si="3"/>
        <v>5.045919828207996E-2</v>
      </c>
      <c r="Q24" s="2">
        <f t="shared" si="4"/>
        <v>36380.864800000003</v>
      </c>
    </row>
    <row r="25" spans="1:17" x14ac:dyDescent="0.2">
      <c r="A25" s="10" t="s">
        <v>31</v>
      </c>
      <c r="B25" s="11" t="s">
        <v>30</v>
      </c>
      <c r="C25" s="13">
        <v>51635.630899999996</v>
      </c>
      <c r="D25" s="13">
        <v>3.2000000000000002E-3</v>
      </c>
      <c r="E25">
        <f t="shared" si="0"/>
        <v>53874.146518935311</v>
      </c>
      <c r="F25">
        <f t="shared" si="1"/>
        <v>53874</v>
      </c>
      <c r="G25">
        <f t="shared" si="2"/>
        <v>5.3503837996686343E-2</v>
      </c>
      <c r="K25">
        <f>+G25</f>
        <v>5.3503837996686343E-2</v>
      </c>
      <c r="O25">
        <f t="shared" ca="1" si="3"/>
        <v>5.1071770577731018E-2</v>
      </c>
      <c r="Q25" s="2">
        <f t="shared" si="4"/>
        <v>36617.130899999996</v>
      </c>
    </row>
    <row r="26" spans="1:17" x14ac:dyDescent="0.2">
      <c r="A26" s="37" t="s">
        <v>44</v>
      </c>
      <c r="B26" s="38" t="s">
        <v>30</v>
      </c>
      <c r="C26" s="37">
        <v>54908.6273</v>
      </c>
      <c r="D26" s="37">
        <v>2.0000000000000001E-4</v>
      </c>
      <c r="E26">
        <f t="shared" si="0"/>
        <v>62837.166102815085</v>
      </c>
      <c r="F26">
        <f t="shared" si="1"/>
        <v>62837</v>
      </c>
      <c r="G26">
        <f t="shared" si="2"/>
        <v>6.0655219007458072E-2</v>
      </c>
      <c r="J26">
        <f>+G26</f>
        <v>6.0655219007458072E-2</v>
      </c>
      <c r="O26">
        <f t="shared" ca="1" si="3"/>
        <v>5.9557837789354466E-2</v>
      </c>
      <c r="Q26" s="2">
        <f t="shared" si="4"/>
        <v>39890.1273</v>
      </c>
    </row>
    <row r="27" spans="1:17" x14ac:dyDescent="0.2">
      <c r="A27" s="37" t="s">
        <v>45</v>
      </c>
      <c r="B27" s="38" t="s">
        <v>30</v>
      </c>
      <c r="C27" s="37">
        <v>55642.612000000001</v>
      </c>
      <c r="D27" s="37">
        <v>4.0000000000000002E-4</v>
      </c>
      <c r="E27">
        <f t="shared" si="0"/>
        <v>64847.165026238312</v>
      </c>
      <c r="F27">
        <f t="shared" si="1"/>
        <v>64847</v>
      </c>
      <c r="G27">
        <f t="shared" si="2"/>
        <v>6.0262089005846065E-2</v>
      </c>
      <c r="J27">
        <f>+G27</f>
        <v>6.0262089005846065E-2</v>
      </c>
      <c r="O27">
        <f t="shared" ca="1" si="3"/>
        <v>6.1460883097327591E-2</v>
      </c>
      <c r="Q27" s="2">
        <f t="shared" si="4"/>
        <v>40624.112000000001</v>
      </c>
    </row>
    <row r="28" spans="1:17" x14ac:dyDescent="0.2">
      <c r="A28" s="31" t="s">
        <v>39</v>
      </c>
      <c r="B28" s="32" t="s">
        <v>30</v>
      </c>
      <c r="C28" s="33">
        <v>52123.494299999998</v>
      </c>
      <c r="D28" s="33" t="s">
        <v>40</v>
      </c>
      <c r="E28">
        <f t="shared" si="0"/>
        <v>55210.148357635218</v>
      </c>
      <c r="F28">
        <f t="shared" si="1"/>
        <v>55210</v>
      </c>
      <c r="G28">
        <f t="shared" si="2"/>
        <v>5.4175270000996534E-2</v>
      </c>
      <c r="K28">
        <f>+G28</f>
        <v>5.4175270000996534E-2</v>
      </c>
      <c r="O28">
        <f t="shared" ca="1" si="3"/>
        <v>5.233668029487136E-2</v>
      </c>
      <c r="Q28" s="2">
        <f t="shared" si="4"/>
        <v>37104.994299999998</v>
      </c>
    </row>
    <row r="29" spans="1:17" x14ac:dyDescent="0.2">
      <c r="A29" s="31" t="s">
        <v>39</v>
      </c>
      <c r="B29" s="32" t="s">
        <v>30</v>
      </c>
      <c r="C29" s="33">
        <v>52490.481099999997</v>
      </c>
      <c r="D29" s="33" t="s">
        <v>40</v>
      </c>
      <c r="E29">
        <f t="shared" si="0"/>
        <v>56215.13262080928</v>
      </c>
      <c r="F29">
        <f t="shared" si="1"/>
        <v>56215</v>
      </c>
      <c r="G29">
        <f t="shared" si="2"/>
        <v>4.8428704998514149E-2</v>
      </c>
      <c r="K29">
        <f>+G29</f>
        <v>4.8428704998514149E-2</v>
      </c>
      <c r="O29">
        <f t="shared" ca="1" si="3"/>
        <v>5.3288202948857923E-2</v>
      </c>
      <c r="Q29" s="2">
        <f t="shared" si="4"/>
        <v>37471.981099999997</v>
      </c>
    </row>
    <row r="30" spans="1:17" x14ac:dyDescent="0.2">
      <c r="A30" s="34" t="s">
        <v>43</v>
      </c>
      <c r="B30" s="35" t="s">
        <v>30</v>
      </c>
      <c r="C30" s="36">
        <v>55380.422489999997</v>
      </c>
      <c r="D30" s="36">
        <v>2.9999999999999997E-4</v>
      </c>
      <c r="E30">
        <f t="shared" si="0"/>
        <v>64129.165546367862</v>
      </c>
      <c r="F30">
        <f t="shared" si="1"/>
        <v>64129</v>
      </c>
      <c r="G30">
        <f t="shared" si="2"/>
        <v>6.0452022997196764E-2</v>
      </c>
      <c r="K30">
        <f>+G30</f>
        <v>6.0452022997196764E-2</v>
      </c>
      <c r="O30">
        <f t="shared" ca="1" si="3"/>
        <v>6.0781088803235697E-2</v>
      </c>
      <c r="Q30" s="2">
        <f t="shared" si="4"/>
        <v>40361.922489999997</v>
      </c>
    </row>
    <row r="31" spans="1:17" x14ac:dyDescent="0.2">
      <c r="C31" s="12"/>
      <c r="D31" s="12"/>
      <c r="Q31" s="2"/>
    </row>
    <row r="32" spans="1:17" x14ac:dyDescent="0.2">
      <c r="C32" s="12"/>
      <c r="D32" s="12"/>
      <c r="Q32" s="2"/>
    </row>
    <row r="33" spans="3:4" x14ac:dyDescent="0.2">
      <c r="C33" s="12"/>
      <c r="D33" s="12"/>
    </row>
    <row r="34" spans="3:4" x14ac:dyDescent="0.2">
      <c r="C34" s="12"/>
      <c r="D34" s="12"/>
    </row>
    <row r="35" spans="3:4" x14ac:dyDescent="0.2">
      <c r="C35" s="12"/>
      <c r="D35" s="12"/>
    </row>
    <row r="36" spans="3:4" x14ac:dyDescent="0.2">
      <c r="C36" s="12"/>
      <c r="D36" s="12"/>
    </row>
    <row r="37" spans="3:4" x14ac:dyDescent="0.2">
      <c r="C37" s="12"/>
      <c r="D37" s="12"/>
    </row>
    <row r="38" spans="3:4" x14ac:dyDescent="0.2">
      <c r="C38" s="12"/>
      <c r="D38" s="12"/>
    </row>
    <row r="39" spans="3:4" x14ac:dyDescent="0.2">
      <c r="C39" s="12"/>
      <c r="D39" s="12"/>
    </row>
    <row r="40" spans="3:4" x14ac:dyDescent="0.2">
      <c r="C40" s="12"/>
      <c r="D40" s="12"/>
    </row>
    <row r="41" spans="3:4" x14ac:dyDescent="0.2">
      <c r="C41" s="12"/>
      <c r="D41" s="12"/>
    </row>
    <row r="42" spans="3:4" x14ac:dyDescent="0.2">
      <c r="C42" s="12"/>
      <c r="D42" s="12"/>
    </row>
    <row r="43" spans="3:4" x14ac:dyDescent="0.2">
      <c r="C43" s="12"/>
      <c r="D43" s="12"/>
    </row>
    <row r="44" spans="3:4" x14ac:dyDescent="0.2">
      <c r="C44" s="12"/>
      <c r="D44" s="12"/>
    </row>
    <row r="45" spans="3:4" x14ac:dyDescent="0.2">
      <c r="C45" s="12"/>
      <c r="D45" s="12"/>
    </row>
    <row r="46" spans="3:4" x14ac:dyDescent="0.2">
      <c r="C46" s="12"/>
      <c r="D46" s="12"/>
    </row>
    <row r="47" spans="3:4" x14ac:dyDescent="0.2">
      <c r="C47" s="12"/>
      <c r="D47" s="12"/>
    </row>
    <row r="48" spans="3:4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3"/>
  <sheetViews>
    <sheetView workbookViewId="0">
      <selection activeCell="A17" sqref="A17:D19"/>
    </sheetView>
  </sheetViews>
  <sheetFormatPr defaultRowHeight="12.75" x14ac:dyDescent="0.2"/>
  <cols>
    <col min="1" max="1" width="19.7109375" style="12" customWidth="1"/>
    <col min="2" max="2" width="4.42578125" style="9" customWidth="1"/>
    <col min="3" max="3" width="12.7109375" style="12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2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9" t="s">
        <v>46</v>
      </c>
      <c r="I1" s="40" t="s">
        <v>47</v>
      </c>
      <c r="J1" s="41" t="s">
        <v>40</v>
      </c>
    </row>
    <row r="2" spans="1:16" x14ac:dyDescent="0.2">
      <c r="I2" s="42" t="s">
        <v>48</v>
      </c>
      <c r="J2" s="43" t="s">
        <v>49</v>
      </c>
    </row>
    <row r="3" spans="1:16" x14ac:dyDescent="0.2">
      <c r="A3" s="44" t="s">
        <v>50</v>
      </c>
      <c r="I3" s="42" t="s">
        <v>51</v>
      </c>
      <c r="J3" s="43" t="s">
        <v>52</v>
      </c>
    </row>
    <row r="4" spans="1:16" x14ac:dyDescent="0.2">
      <c r="I4" s="42" t="s">
        <v>53</v>
      </c>
      <c r="J4" s="43" t="s">
        <v>52</v>
      </c>
    </row>
    <row r="5" spans="1:16" ht="13.5" thickBot="1" x14ac:dyDescent="0.25">
      <c r="I5" s="45" t="s">
        <v>54</v>
      </c>
      <c r="J5" s="46" t="s">
        <v>55</v>
      </c>
    </row>
    <row r="10" spans="1:16" ht="13.5" thickBot="1" x14ac:dyDescent="0.25"/>
    <row r="11" spans="1:16" ht="12.75" customHeight="1" thickBot="1" x14ac:dyDescent="0.25">
      <c r="A11" s="12" t="str">
        <f t="shared" ref="A11:A19" si="0">P11</f>
        <v>IBVS 5263 </v>
      </c>
      <c r="B11" s="17" t="str">
        <f t="shared" ref="B11:B19" si="1">IF(H11=INT(H11),"I","II")</f>
        <v>I</v>
      </c>
      <c r="C11" s="12">
        <f t="shared" ref="C11:C19" si="2">1*G11</f>
        <v>51399.364800000003</v>
      </c>
      <c r="D11" s="9" t="str">
        <f t="shared" ref="D11:D19" si="3">VLOOKUP(F11,I$1:J$5,2,FALSE)</f>
        <v>vis</v>
      </c>
      <c r="E11" s="47">
        <f>VLOOKUP(C11,Active!C$21:E$972,3,FALSE)</f>
        <v>53227.13765534266</v>
      </c>
      <c r="F11" s="17" t="s">
        <v>54</v>
      </c>
      <c r="G11" s="9" t="str">
        <f t="shared" ref="G11:G19" si="4">MID(I11,3,LEN(I11)-3)</f>
        <v>51399.3648</v>
      </c>
      <c r="H11" s="12">
        <f t="shared" ref="H11:H19" si="5">1*K11</f>
        <v>53227</v>
      </c>
      <c r="I11" s="48" t="s">
        <v>56</v>
      </c>
      <c r="J11" s="49" t="s">
        <v>57</v>
      </c>
      <c r="K11" s="48">
        <v>53227</v>
      </c>
      <c r="L11" s="48" t="s">
        <v>58</v>
      </c>
      <c r="M11" s="49" t="s">
        <v>59</v>
      </c>
      <c r="N11" s="49" t="s">
        <v>60</v>
      </c>
      <c r="O11" s="50" t="s">
        <v>61</v>
      </c>
      <c r="P11" s="51" t="s">
        <v>62</v>
      </c>
    </row>
    <row r="12" spans="1:16" ht="12.75" customHeight="1" thickBot="1" x14ac:dyDescent="0.25">
      <c r="A12" s="12" t="str">
        <f t="shared" si="0"/>
        <v>IBVS 5287 </v>
      </c>
      <c r="B12" s="17" t="str">
        <f t="shared" si="1"/>
        <v>I</v>
      </c>
      <c r="C12" s="12">
        <f t="shared" si="2"/>
        <v>51635.630899999996</v>
      </c>
      <c r="D12" s="9" t="str">
        <f t="shared" si="3"/>
        <v>vis</v>
      </c>
      <c r="E12" s="47">
        <f>VLOOKUP(C12,Active!C$21:E$972,3,FALSE)</f>
        <v>53874.146518935311</v>
      </c>
      <c r="F12" s="17" t="s">
        <v>54</v>
      </c>
      <c r="G12" s="9" t="str">
        <f t="shared" si="4"/>
        <v>51635.6309</v>
      </c>
      <c r="H12" s="12">
        <f t="shared" si="5"/>
        <v>53874</v>
      </c>
      <c r="I12" s="48" t="s">
        <v>63</v>
      </c>
      <c r="J12" s="49" t="s">
        <v>64</v>
      </c>
      <c r="K12" s="48">
        <v>53874</v>
      </c>
      <c r="L12" s="48" t="s">
        <v>65</v>
      </c>
      <c r="M12" s="49" t="s">
        <v>59</v>
      </c>
      <c r="N12" s="49" t="s">
        <v>60</v>
      </c>
      <c r="O12" s="50" t="s">
        <v>61</v>
      </c>
      <c r="P12" s="51" t="s">
        <v>66</v>
      </c>
    </row>
    <row r="13" spans="1:16" ht="12.75" customHeight="1" thickBot="1" x14ac:dyDescent="0.25">
      <c r="A13" s="12" t="str">
        <f t="shared" si="0"/>
        <v>OEJV 0074 </v>
      </c>
      <c r="B13" s="17" t="str">
        <f t="shared" si="1"/>
        <v>I</v>
      </c>
      <c r="C13" s="12">
        <f t="shared" si="2"/>
        <v>52123.494299999998</v>
      </c>
      <c r="D13" s="9" t="str">
        <f t="shared" si="3"/>
        <v>vis</v>
      </c>
      <c r="E13" s="47">
        <f>VLOOKUP(C13,Active!C$21:E$972,3,FALSE)</f>
        <v>55210.148357635218</v>
      </c>
      <c r="F13" s="17" t="s">
        <v>54</v>
      </c>
      <c r="G13" s="9" t="str">
        <f t="shared" si="4"/>
        <v>52123.49430</v>
      </c>
      <c r="H13" s="12">
        <f t="shared" si="5"/>
        <v>55210</v>
      </c>
      <c r="I13" s="48" t="s">
        <v>67</v>
      </c>
      <c r="J13" s="49" t="s">
        <v>68</v>
      </c>
      <c r="K13" s="48">
        <v>55210</v>
      </c>
      <c r="L13" s="48" t="s">
        <v>69</v>
      </c>
      <c r="M13" s="49" t="s">
        <v>70</v>
      </c>
      <c r="N13" s="49" t="s">
        <v>71</v>
      </c>
      <c r="O13" s="50" t="s">
        <v>72</v>
      </c>
      <c r="P13" s="51" t="s">
        <v>73</v>
      </c>
    </row>
    <row r="14" spans="1:16" ht="12.75" customHeight="1" thickBot="1" x14ac:dyDescent="0.25">
      <c r="A14" s="12" t="str">
        <f t="shared" si="0"/>
        <v>OEJV 0074 </v>
      </c>
      <c r="B14" s="17" t="str">
        <f t="shared" si="1"/>
        <v>I</v>
      </c>
      <c r="C14" s="12">
        <f t="shared" si="2"/>
        <v>52490.481099999997</v>
      </c>
      <c r="D14" s="9" t="str">
        <f t="shared" si="3"/>
        <v>vis</v>
      </c>
      <c r="E14" s="47">
        <f>VLOOKUP(C14,Active!C$21:E$972,3,FALSE)</f>
        <v>56215.13262080928</v>
      </c>
      <c r="F14" s="17" t="s">
        <v>54</v>
      </c>
      <c r="G14" s="9" t="str">
        <f t="shared" si="4"/>
        <v>52490.48110</v>
      </c>
      <c r="H14" s="12">
        <f t="shared" si="5"/>
        <v>56215</v>
      </c>
      <c r="I14" s="48" t="s">
        <v>74</v>
      </c>
      <c r="J14" s="49" t="s">
        <v>75</v>
      </c>
      <c r="K14" s="48">
        <v>56215</v>
      </c>
      <c r="L14" s="48" t="s">
        <v>76</v>
      </c>
      <c r="M14" s="49" t="s">
        <v>70</v>
      </c>
      <c r="N14" s="49" t="s">
        <v>71</v>
      </c>
      <c r="O14" s="50" t="s">
        <v>72</v>
      </c>
      <c r="P14" s="51" t="s">
        <v>73</v>
      </c>
    </row>
    <row r="15" spans="1:16" ht="12.75" customHeight="1" thickBot="1" x14ac:dyDescent="0.25">
      <c r="A15" s="12" t="str">
        <f t="shared" si="0"/>
        <v>BAVM 209 </v>
      </c>
      <c r="B15" s="17" t="str">
        <f t="shared" si="1"/>
        <v>I</v>
      </c>
      <c r="C15" s="12">
        <f t="shared" si="2"/>
        <v>54908.6273</v>
      </c>
      <c r="D15" s="9" t="str">
        <f t="shared" si="3"/>
        <v>vis</v>
      </c>
      <c r="E15" s="47">
        <f>VLOOKUP(C15,Active!C$21:E$972,3,FALSE)</f>
        <v>62837.166102815085</v>
      </c>
      <c r="F15" s="17" t="s">
        <v>54</v>
      </c>
      <c r="G15" s="9" t="str">
        <f t="shared" si="4"/>
        <v>54908.6273</v>
      </c>
      <c r="H15" s="12">
        <f t="shared" si="5"/>
        <v>62837</v>
      </c>
      <c r="I15" s="48" t="s">
        <v>77</v>
      </c>
      <c r="J15" s="49" t="s">
        <v>78</v>
      </c>
      <c r="K15" s="48">
        <v>62837</v>
      </c>
      <c r="L15" s="48" t="s">
        <v>79</v>
      </c>
      <c r="M15" s="49" t="s">
        <v>70</v>
      </c>
      <c r="N15" s="49" t="s">
        <v>71</v>
      </c>
      <c r="O15" s="50" t="s">
        <v>80</v>
      </c>
      <c r="P15" s="51" t="s">
        <v>81</v>
      </c>
    </row>
    <row r="16" spans="1:16" ht="12.75" customHeight="1" thickBot="1" x14ac:dyDescent="0.25">
      <c r="A16" s="12" t="str">
        <f t="shared" si="0"/>
        <v>BAVM 220 </v>
      </c>
      <c r="B16" s="17" t="str">
        <f t="shared" si="1"/>
        <v>I</v>
      </c>
      <c r="C16" s="12">
        <f t="shared" si="2"/>
        <v>55642.612000000001</v>
      </c>
      <c r="D16" s="9" t="str">
        <f t="shared" si="3"/>
        <v>vis</v>
      </c>
      <c r="E16" s="47">
        <f>VLOOKUP(C16,Active!C$21:E$972,3,FALSE)</f>
        <v>64847.165026238312</v>
      </c>
      <c r="F16" s="17" t="s">
        <v>54</v>
      </c>
      <c r="G16" s="9" t="str">
        <f t="shared" si="4"/>
        <v>55642.6120</v>
      </c>
      <c r="H16" s="12">
        <f t="shared" si="5"/>
        <v>64847</v>
      </c>
      <c r="I16" s="48" t="s">
        <v>95</v>
      </c>
      <c r="J16" s="49" t="s">
        <v>96</v>
      </c>
      <c r="K16" s="48">
        <v>64847</v>
      </c>
      <c r="L16" s="48" t="s">
        <v>97</v>
      </c>
      <c r="M16" s="49" t="s">
        <v>70</v>
      </c>
      <c r="N16" s="49" t="s">
        <v>71</v>
      </c>
      <c r="O16" s="50" t="s">
        <v>80</v>
      </c>
      <c r="P16" s="51" t="s">
        <v>98</v>
      </c>
    </row>
    <row r="17" spans="1:16" ht="12.75" customHeight="1" thickBot="1" x14ac:dyDescent="0.25">
      <c r="A17" s="12" t="str">
        <f t="shared" si="0"/>
        <v>BAVM 212 </v>
      </c>
      <c r="B17" s="17" t="str">
        <f t="shared" si="1"/>
        <v>I</v>
      </c>
      <c r="C17" s="12">
        <f t="shared" si="2"/>
        <v>55074.412799999998</v>
      </c>
      <c r="D17" s="9" t="str">
        <f t="shared" si="3"/>
        <v>vis</v>
      </c>
      <c r="E17" s="47">
        <f>VLOOKUP(C17,Active!C$21:E$972,3,FALSE)</f>
        <v>63291.165588797798</v>
      </c>
      <c r="F17" s="17" t="s">
        <v>54</v>
      </c>
      <c r="G17" s="9" t="str">
        <f t="shared" si="4"/>
        <v>55074.4128</v>
      </c>
      <c r="H17" s="12">
        <f t="shared" si="5"/>
        <v>63291</v>
      </c>
      <c r="I17" s="48" t="s">
        <v>82</v>
      </c>
      <c r="J17" s="49" t="s">
        <v>83</v>
      </c>
      <c r="K17" s="48">
        <v>63291</v>
      </c>
      <c r="L17" s="48" t="s">
        <v>84</v>
      </c>
      <c r="M17" s="49" t="s">
        <v>70</v>
      </c>
      <c r="N17" s="49" t="s">
        <v>71</v>
      </c>
      <c r="O17" s="50" t="s">
        <v>85</v>
      </c>
      <c r="P17" s="51" t="s">
        <v>86</v>
      </c>
    </row>
    <row r="18" spans="1:16" ht="12.75" customHeight="1" thickBot="1" x14ac:dyDescent="0.25">
      <c r="A18" s="12" t="str">
        <f t="shared" si="0"/>
        <v>BAVM 212 </v>
      </c>
      <c r="B18" s="17" t="str">
        <f t="shared" si="1"/>
        <v>II</v>
      </c>
      <c r="C18" s="12">
        <f t="shared" si="2"/>
        <v>55074.595699999998</v>
      </c>
      <c r="D18" s="9" t="str">
        <f t="shared" si="3"/>
        <v>vis</v>
      </c>
      <c r="E18" s="47">
        <f>VLOOKUP(C18,Active!C$21:E$972,3,FALSE)</f>
        <v>63291.666455918181</v>
      </c>
      <c r="F18" s="17" t="s">
        <v>54</v>
      </c>
      <c r="G18" s="9" t="str">
        <f t="shared" si="4"/>
        <v>55074.5957</v>
      </c>
      <c r="H18" s="12">
        <f t="shared" si="5"/>
        <v>63291.5</v>
      </c>
      <c r="I18" s="48" t="s">
        <v>87</v>
      </c>
      <c r="J18" s="49" t="s">
        <v>88</v>
      </c>
      <c r="K18" s="48">
        <v>63291.5</v>
      </c>
      <c r="L18" s="48" t="s">
        <v>89</v>
      </c>
      <c r="M18" s="49" t="s">
        <v>70</v>
      </c>
      <c r="N18" s="49" t="s">
        <v>71</v>
      </c>
      <c r="O18" s="50" t="s">
        <v>85</v>
      </c>
      <c r="P18" s="51" t="s">
        <v>86</v>
      </c>
    </row>
    <row r="19" spans="1:16" ht="12.75" customHeight="1" thickBot="1" x14ac:dyDescent="0.25">
      <c r="A19" s="12" t="str">
        <f t="shared" si="0"/>
        <v>OEJV 0137 </v>
      </c>
      <c r="B19" s="17" t="str">
        <f t="shared" si="1"/>
        <v>I</v>
      </c>
      <c r="C19" s="12">
        <f t="shared" si="2"/>
        <v>55380.422400000003</v>
      </c>
      <c r="D19" s="9" t="str">
        <f t="shared" si="3"/>
        <v>vis</v>
      </c>
      <c r="E19" s="47" t="e">
        <f>VLOOKUP(C19,Active!C$21:E$972,3,FALSE)</f>
        <v>#N/A</v>
      </c>
      <c r="F19" s="17" t="s">
        <v>54</v>
      </c>
      <c r="G19" s="9" t="str">
        <f t="shared" si="4"/>
        <v>55380.4224</v>
      </c>
      <c r="H19" s="12">
        <f t="shared" si="5"/>
        <v>64129</v>
      </c>
      <c r="I19" s="48" t="s">
        <v>90</v>
      </c>
      <c r="J19" s="49" t="s">
        <v>91</v>
      </c>
      <c r="K19" s="48">
        <v>64129</v>
      </c>
      <c r="L19" s="48" t="s">
        <v>92</v>
      </c>
      <c r="M19" s="49" t="s">
        <v>70</v>
      </c>
      <c r="N19" s="49" t="s">
        <v>47</v>
      </c>
      <c r="O19" s="50" t="s">
        <v>93</v>
      </c>
      <c r="P19" s="51" t="s">
        <v>94</v>
      </c>
    </row>
    <row r="20" spans="1:16" x14ac:dyDescent="0.2">
      <c r="B20" s="17"/>
      <c r="E20" s="47"/>
      <c r="F20" s="17"/>
    </row>
    <row r="21" spans="1:16" x14ac:dyDescent="0.2">
      <c r="B21" s="17"/>
      <c r="E21" s="47"/>
      <c r="F21" s="17"/>
    </row>
    <row r="22" spans="1:16" x14ac:dyDescent="0.2">
      <c r="B22" s="17"/>
      <c r="E22" s="47"/>
      <c r="F22" s="17"/>
    </row>
    <row r="23" spans="1:16" x14ac:dyDescent="0.2">
      <c r="B23" s="17"/>
      <c r="E23" s="47"/>
      <c r="F23" s="17"/>
    </row>
    <row r="24" spans="1:16" x14ac:dyDescent="0.2">
      <c r="B24" s="17"/>
      <c r="E24" s="47"/>
      <c r="F24" s="17"/>
    </row>
    <row r="25" spans="1:16" x14ac:dyDescent="0.2">
      <c r="B25" s="17"/>
      <c r="E25" s="47"/>
      <c r="F25" s="17"/>
    </row>
    <row r="26" spans="1:16" x14ac:dyDescent="0.2">
      <c r="B26" s="17"/>
      <c r="E26" s="47"/>
      <c r="F26" s="17"/>
    </row>
    <row r="27" spans="1:16" x14ac:dyDescent="0.2">
      <c r="B27" s="17"/>
      <c r="E27" s="47"/>
      <c r="F27" s="17"/>
    </row>
    <row r="28" spans="1:16" x14ac:dyDescent="0.2">
      <c r="B28" s="17"/>
      <c r="E28" s="47"/>
      <c r="F28" s="17"/>
    </row>
    <row r="29" spans="1:16" x14ac:dyDescent="0.2">
      <c r="B29" s="17"/>
      <c r="E29" s="47"/>
      <c r="F29" s="17"/>
    </row>
    <row r="30" spans="1:16" x14ac:dyDescent="0.2">
      <c r="B30" s="17"/>
      <c r="E30" s="47"/>
      <c r="F30" s="17"/>
    </row>
    <row r="31" spans="1:16" x14ac:dyDescent="0.2">
      <c r="B31" s="17"/>
      <c r="E31" s="47"/>
      <c r="F31" s="17"/>
    </row>
    <row r="32" spans="1:16" x14ac:dyDescent="0.2">
      <c r="B32" s="17"/>
      <c r="E32" s="47"/>
      <c r="F32" s="17"/>
    </row>
    <row r="33" spans="2:6" x14ac:dyDescent="0.2">
      <c r="B33" s="17"/>
      <c r="E33" s="47"/>
      <c r="F33" s="17"/>
    </row>
    <row r="34" spans="2:6" x14ac:dyDescent="0.2">
      <c r="B34" s="17"/>
      <c r="E34" s="47"/>
      <c r="F34" s="17"/>
    </row>
    <row r="35" spans="2:6" x14ac:dyDescent="0.2">
      <c r="B35" s="17"/>
      <c r="E35" s="47"/>
      <c r="F35" s="17"/>
    </row>
    <row r="36" spans="2:6" x14ac:dyDescent="0.2">
      <c r="B36" s="17"/>
      <c r="E36" s="47"/>
      <c r="F36" s="17"/>
    </row>
    <row r="37" spans="2:6" x14ac:dyDescent="0.2">
      <c r="B37" s="17"/>
      <c r="E37" s="47"/>
      <c r="F37" s="17"/>
    </row>
    <row r="38" spans="2:6" x14ac:dyDescent="0.2">
      <c r="B38" s="17"/>
      <c r="E38" s="47"/>
      <c r="F38" s="17"/>
    </row>
    <row r="39" spans="2:6" x14ac:dyDescent="0.2">
      <c r="B39" s="17"/>
      <c r="E39" s="47"/>
      <c r="F39" s="17"/>
    </row>
    <row r="40" spans="2:6" x14ac:dyDescent="0.2">
      <c r="B40" s="17"/>
      <c r="E40" s="47"/>
      <c r="F40" s="17"/>
    </row>
    <row r="41" spans="2:6" x14ac:dyDescent="0.2">
      <c r="B41" s="17"/>
      <c r="E41" s="47"/>
      <c r="F41" s="17"/>
    </row>
    <row r="42" spans="2:6" x14ac:dyDescent="0.2">
      <c r="B42" s="17"/>
      <c r="E42" s="47"/>
      <c r="F42" s="17"/>
    </row>
    <row r="43" spans="2:6" x14ac:dyDescent="0.2">
      <c r="B43" s="17"/>
      <c r="E43" s="47"/>
      <c r="F43" s="17"/>
    </row>
    <row r="44" spans="2:6" x14ac:dyDescent="0.2">
      <c r="B44" s="17"/>
      <c r="E44" s="47"/>
      <c r="F44" s="17"/>
    </row>
    <row r="45" spans="2:6" x14ac:dyDescent="0.2">
      <c r="B45" s="17"/>
      <c r="E45" s="47"/>
      <c r="F45" s="17"/>
    </row>
    <row r="46" spans="2:6" x14ac:dyDescent="0.2">
      <c r="B46" s="17"/>
      <c r="E46" s="47"/>
      <c r="F46" s="17"/>
    </row>
    <row r="47" spans="2:6" x14ac:dyDescent="0.2">
      <c r="B47" s="17"/>
      <c r="E47" s="47"/>
      <c r="F47" s="17"/>
    </row>
    <row r="48" spans="2:6" x14ac:dyDescent="0.2">
      <c r="B48" s="17"/>
      <c r="E48" s="47"/>
      <c r="F48" s="17"/>
    </row>
    <row r="49" spans="2:6" x14ac:dyDescent="0.2">
      <c r="B49" s="17"/>
      <c r="E49" s="47"/>
      <c r="F49" s="17"/>
    </row>
    <row r="50" spans="2:6" x14ac:dyDescent="0.2">
      <c r="B50" s="17"/>
      <c r="E50" s="47"/>
      <c r="F50" s="17"/>
    </row>
    <row r="51" spans="2:6" x14ac:dyDescent="0.2">
      <c r="B51" s="17"/>
      <c r="E51" s="47"/>
      <c r="F51" s="17"/>
    </row>
    <row r="52" spans="2:6" x14ac:dyDescent="0.2">
      <c r="B52" s="17"/>
      <c r="E52" s="47"/>
      <c r="F52" s="17"/>
    </row>
    <row r="53" spans="2:6" x14ac:dyDescent="0.2">
      <c r="B53" s="17"/>
      <c r="E53" s="47"/>
      <c r="F53" s="17"/>
    </row>
    <row r="54" spans="2:6" x14ac:dyDescent="0.2">
      <c r="B54" s="17"/>
      <c r="E54" s="47"/>
      <c r="F54" s="17"/>
    </row>
    <row r="55" spans="2:6" x14ac:dyDescent="0.2">
      <c r="B55" s="17"/>
      <c r="E55" s="47"/>
      <c r="F55" s="17"/>
    </row>
    <row r="56" spans="2:6" x14ac:dyDescent="0.2">
      <c r="B56" s="17"/>
      <c r="E56" s="47"/>
      <c r="F56" s="17"/>
    </row>
    <row r="57" spans="2:6" x14ac:dyDescent="0.2">
      <c r="B57" s="17"/>
      <c r="E57" s="47"/>
      <c r="F57" s="17"/>
    </row>
    <row r="58" spans="2:6" x14ac:dyDescent="0.2">
      <c r="B58" s="17"/>
      <c r="E58" s="47"/>
      <c r="F58" s="17"/>
    </row>
    <row r="59" spans="2:6" x14ac:dyDescent="0.2">
      <c r="B59" s="17"/>
      <c r="E59" s="47"/>
      <c r="F59" s="17"/>
    </row>
    <row r="60" spans="2:6" x14ac:dyDescent="0.2">
      <c r="B60" s="17"/>
      <c r="E60" s="47"/>
      <c r="F60" s="17"/>
    </row>
    <row r="61" spans="2:6" x14ac:dyDescent="0.2">
      <c r="B61" s="17"/>
      <c r="E61" s="47"/>
      <c r="F61" s="17"/>
    </row>
    <row r="62" spans="2:6" x14ac:dyDescent="0.2">
      <c r="B62" s="17"/>
      <c r="E62" s="47"/>
      <c r="F62" s="17"/>
    </row>
    <row r="63" spans="2:6" x14ac:dyDescent="0.2">
      <c r="B63" s="17"/>
      <c r="E63" s="47"/>
      <c r="F63" s="17"/>
    </row>
    <row r="64" spans="2:6" x14ac:dyDescent="0.2">
      <c r="B64" s="17"/>
      <c r="E64" s="47"/>
      <c r="F64" s="17"/>
    </row>
    <row r="65" spans="2:6" x14ac:dyDescent="0.2">
      <c r="B65" s="17"/>
      <c r="E65" s="47"/>
      <c r="F65" s="17"/>
    </row>
    <row r="66" spans="2:6" x14ac:dyDescent="0.2">
      <c r="B66" s="17"/>
      <c r="E66" s="47"/>
      <c r="F66" s="17"/>
    </row>
    <row r="67" spans="2:6" x14ac:dyDescent="0.2">
      <c r="B67" s="17"/>
      <c r="E67" s="47"/>
      <c r="F67" s="17"/>
    </row>
    <row r="68" spans="2:6" x14ac:dyDescent="0.2">
      <c r="B68" s="17"/>
      <c r="E68" s="47"/>
      <c r="F68" s="17"/>
    </row>
    <row r="69" spans="2:6" x14ac:dyDescent="0.2">
      <c r="B69" s="17"/>
      <c r="E69" s="47"/>
      <c r="F69" s="17"/>
    </row>
    <row r="70" spans="2:6" x14ac:dyDescent="0.2">
      <c r="B70" s="17"/>
      <c r="E70" s="47"/>
      <c r="F70" s="17"/>
    </row>
    <row r="71" spans="2:6" x14ac:dyDescent="0.2">
      <c r="B71" s="17"/>
      <c r="E71" s="47"/>
      <c r="F71" s="17"/>
    </row>
    <row r="72" spans="2:6" x14ac:dyDescent="0.2">
      <c r="B72" s="17"/>
      <c r="E72" s="47"/>
      <c r="F72" s="17"/>
    </row>
    <row r="73" spans="2:6" x14ac:dyDescent="0.2">
      <c r="B73" s="17"/>
      <c r="E73" s="47"/>
      <c r="F73" s="17"/>
    </row>
    <row r="74" spans="2:6" x14ac:dyDescent="0.2">
      <c r="B74" s="17"/>
      <c r="E74" s="47"/>
      <c r="F74" s="17"/>
    </row>
    <row r="75" spans="2:6" x14ac:dyDescent="0.2">
      <c r="B75" s="17"/>
      <c r="E75" s="47"/>
      <c r="F75" s="17"/>
    </row>
    <row r="76" spans="2:6" x14ac:dyDescent="0.2">
      <c r="B76" s="17"/>
      <c r="E76" s="47"/>
      <c r="F76" s="17"/>
    </row>
    <row r="77" spans="2:6" x14ac:dyDescent="0.2">
      <c r="B77" s="17"/>
      <c r="E77" s="47"/>
      <c r="F77" s="17"/>
    </row>
    <row r="78" spans="2:6" x14ac:dyDescent="0.2">
      <c r="B78" s="17"/>
      <c r="E78" s="47"/>
      <c r="F78" s="17"/>
    </row>
    <row r="79" spans="2:6" x14ac:dyDescent="0.2">
      <c r="B79" s="17"/>
      <c r="E79" s="47"/>
      <c r="F79" s="17"/>
    </row>
    <row r="80" spans="2:6" x14ac:dyDescent="0.2">
      <c r="B80" s="17"/>
      <c r="E80" s="47"/>
      <c r="F80" s="17"/>
    </row>
    <row r="81" spans="2:6" x14ac:dyDescent="0.2">
      <c r="B81" s="17"/>
      <c r="E81" s="47"/>
      <c r="F81" s="17"/>
    </row>
    <row r="82" spans="2:6" x14ac:dyDescent="0.2">
      <c r="B82" s="17"/>
      <c r="E82" s="47"/>
      <c r="F82" s="17"/>
    </row>
    <row r="83" spans="2:6" x14ac:dyDescent="0.2">
      <c r="B83" s="17"/>
      <c r="E83" s="47"/>
      <c r="F83" s="17"/>
    </row>
    <row r="84" spans="2:6" x14ac:dyDescent="0.2">
      <c r="B84" s="17"/>
      <c r="E84" s="47"/>
      <c r="F84" s="17"/>
    </row>
    <row r="85" spans="2:6" x14ac:dyDescent="0.2">
      <c r="B85" s="17"/>
      <c r="E85" s="4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  <row r="825" spans="2:6" x14ac:dyDescent="0.2">
      <c r="B825" s="17"/>
      <c r="F825" s="17"/>
    </row>
    <row r="826" spans="2:6" x14ac:dyDescent="0.2">
      <c r="B826" s="17"/>
      <c r="F826" s="17"/>
    </row>
    <row r="827" spans="2:6" x14ac:dyDescent="0.2">
      <c r="B827" s="17"/>
      <c r="F827" s="17"/>
    </row>
    <row r="828" spans="2:6" x14ac:dyDescent="0.2">
      <c r="B828" s="17"/>
      <c r="F828" s="17"/>
    </row>
    <row r="829" spans="2:6" x14ac:dyDescent="0.2">
      <c r="B829" s="17"/>
      <c r="F829" s="17"/>
    </row>
    <row r="830" spans="2:6" x14ac:dyDescent="0.2">
      <c r="B830" s="17"/>
      <c r="F830" s="17"/>
    </row>
    <row r="831" spans="2:6" x14ac:dyDescent="0.2">
      <c r="B831" s="17"/>
      <c r="F831" s="17"/>
    </row>
    <row r="832" spans="2:6" x14ac:dyDescent="0.2">
      <c r="B832" s="17"/>
      <c r="F832" s="17"/>
    </row>
    <row r="833" spans="2:6" x14ac:dyDescent="0.2">
      <c r="B833" s="17"/>
      <c r="F833" s="17"/>
    </row>
    <row r="834" spans="2:6" x14ac:dyDescent="0.2">
      <c r="B834" s="17"/>
      <c r="F834" s="17"/>
    </row>
    <row r="835" spans="2:6" x14ac:dyDescent="0.2">
      <c r="B835" s="17"/>
      <c r="F835" s="17"/>
    </row>
    <row r="836" spans="2:6" x14ac:dyDescent="0.2">
      <c r="B836" s="17"/>
      <c r="F836" s="17"/>
    </row>
    <row r="837" spans="2:6" x14ac:dyDescent="0.2">
      <c r="B837" s="17"/>
      <c r="F837" s="17"/>
    </row>
    <row r="838" spans="2:6" x14ac:dyDescent="0.2">
      <c r="B838" s="17"/>
      <c r="F838" s="17"/>
    </row>
    <row r="839" spans="2:6" x14ac:dyDescent="0.2">
      <c r="B839" s="17"/>
      <c r="F839" s="17"/>
    </row>
    <row r="840" spans="2:6" x14ac:dyDescent="0.2">
      <c r="B840" s="17"/>
      <c r="F840" s="17"/>
    </row>
    <row r="841" spans="2:6" x14ac:dyDescent="0.2">
      <c r="B841" s="17"/>
      <c r="F841" s="17"/>
    </row>
    <row r="842" spans="2:6" x14ac:dyDescent="0.2">
      <c r="B842" s="17"/>
      <c r="F842" s="17"/>
    </row>
    <row r="843" spans="2:6" x14ac:dyDescent="0.2">
      <c r="B843" s="17"/>
      <c r="F843" s="17"/>
    </row>
    <row r="844" spans="2:6" x14ac:dyDescent="0.2">
      <c r="B844" s="17"/>
      <c r="F844" s="17"/>
    </row>
    <row r="845" spans="2:6" x14ac:dyDescent="0.2">
      <c r="B845" s="17"/>
      <c r="F845" s="17"/>
    </row>
    <row r="846" spans="2:6" x14ac:dyDescent="0.2">
      <c r="B846" s="17"/>
      <c r="F846" s="17"/>
    </row>
    <row r="847" spans="2:6" x14ac:dyDescent="0.2">
      <c r="B847" s="17"/>
      <c r="F847" s="17"/>
    </row>
    <row r="848" spans="2:6" x14ac:dyDescent="0.2">
      <c r="B848" s="17"/>
      <c r="F848" s="17"/>
    </row>
    <row r="849" spans="2:6" x14ac:dyDescent="0.2">
      <c r="B849" s="17"/>
      <c r="F849" s="17"/>
    </row>
    <row r="850" spans="2:6" x14ac:dyDescent="0.2">
      <c r="B850" s="17"/>
      <c r="F850" s="17"/>
    </row>
    <row r="851" spans="2:6" x14ac:dyDescent="0.2">
      <c r="B851" s="17"/>
      <c r="F851" s="17"/>
    </row>
    <row r="852" spans="2:6" x14ac:dyDescent="0.2">
      <c r="B852" s="17"/>
      <c r="F852" s="17"/>
    </row>
    <row r="853" spans="2:6" x14ac:dyDescent="0.2">
      <c r="B853" s="17"/>
      <c r="F853" s="17"/>
    </row>
    <row r="854" spans="2:6" x14ac:dyDescent="0.2">
      <c r="B854" s="17"/>
      <c r="F854" s="17"/>
    </row>
    <row r="855" spans="2:6" x14ac:dyDescent="0.2">
      <c r="B855" s="17"/>
      <c r="F855" s="17"/>
    </row>
    <row r="856" spans="2:6" x14ac:dyDescent="0.2">
      <c r="B856" s="17"/>
      <c r="F856" s="17"/>
    </row>
    <row r="857" spans="2:6" x14ac:dyDescent="0.2">
      <c r="B857" s="17"/>
      <c r="F857" s="17"/>
    </row>
    <row r="858" spans="2:6" x14ac:dyDescent="0.2">
      <c r="B858" s="17"/>
      <c r="F858" s="17"/>
    </row>
    <row r="859" spans="2:6" x14ac:dyDescent="0.2">
      <c r="B859" s="17"/>
      <c r="F859" s="17"/>
    </row>
    <row r="860" spans="2:6" x14ac:dyDescent="0.2">
      <c r="B860" s="17"/>
      <c r="F860" s="17"/>
    </row>
    <row r="861" spans="2:6" x14ac:dyDescent="0.2">
      <c r="B861" s="17"/>
      <c r="F861" s="17"/>
    </row>
    <row r="862" spans="2:6" x14ac:dyDescent="0.2">
      <c r="B862" s="17"/>
      <c r="F862" s="17"/>
    </row>
    <row r="863" spans="2:6" x14ac:dyDescent="0.2">
      <c r="B863" s="17"/>
      <c r="F863" s="17"/>
    </row>
    <row r="864" spans="2:6" x14ac:dyDescent="0.2">
      <c r="B864" s="17"/>
      <c r="F864" s="17"/>
    </row>
    <row r="865" spans="2:6" x14ac:dyDescent="0.2">
      <c r="B865" s="17"/>
      <c r="F865" s="17"/>
    </row>
    <row r="866" spans="2:6" x14ac:dyDescent="0.2">
      <c r="B866" s="17"/>
      <c r="F866" s="17"/>
    </row>
    <row r="867" spans="2:6" x14ac:dyDescent="0.2">
      <c r="B867" s="17"/>
      <c r="F867" s="17"/>
    </row>
    <row r="868" spans="2:6" x14ac:dyDescent="0.2">
      <c r="B868" s="17"/>
      <c r="F868" s="17"/>
    </row>
    <row r="869" spans="2:6" x14ac:dyDescent="0.2">
      <c r="B869" s="17"/>
      <c r="F869" s="17"/>
    </row>
    <row r="870" spans="2:6" x14ac:dyDescent="0.2">
      <c r="B870" s="17"/>
      <c r="F870" s="17"/>
    </row>
    <row r="871" spans="2:6" x14ac:dyDescent="0.2">
      <c r="B871" s="17"/>
      <c r="F871" s="17"/>
    </row>
    <row r="872" spans="2:6" x14ac:dyDescent="0.2">
      <c r="B872" s="17"/>
      <c r="F872" s="17"/>
    </row>
    <row r="873" spans="2:6" x14ac:dyDescent="0.2">
      <c r="B873" s="17"/>
      <c r="F873" s="17"/>
    </row>
  </sheetData>
  <phoneticPr fontId="7" type="noConversion"/>
  <hyperlinks>
    <hyperlink ref="P11" r:id="rId1" display="http://www.konkoly.hu/cgi-bin/IBVS?5263"/>
    <hyperlink ref="P12" r:id="rId2" display="http://www.konkoly.hu/cgi-bin/IBVS?5287"/>
    <hyperlink ref="P13" r:id="rId3" display="http://var.astro.cz/oejv/issues/oejv0074.pdf"/>
    <hyperlink ref="P14" r:id="rId4" display="http://var.astro.cz/oejv/issues/oejv0074.pdf"/>
    <hyperlink ref="P15" r:id="rId5" display="http://www.bav-astro.de/sfs/BAVM_link.php?BAVMnr=209"/>
    <hyperlink ref="P17" r:id="rId6" display="http://www.bav-astro.de/sfs/BAVM_link.php?BAVMnr=212"/>
    <hyperlink ref="P18" r:id="rId7" display="http://www.bav-astro.de/sfs/BAVM_link.php?BAVMnr=212"/>
    <hyperlink ref="P19" r:id="rId8" display="http://var.astro.cz/oejv/issues/oejv0137.pdf"/>
    <hyperlink ref="P16" r:id="rId9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2024-02-02T03:59:40Z</dcterms:modified>
</cp:coreProperties>
</file>