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014F9D-69AF-4830-8B6C-8AD5323544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E26" i="1"/>
  <c r="F26" i="1"/>
  <c r="Q23" i="1"/>
  <c r="G14" i="2"/>
  <c r="C14" i="2"/>
  <c r="E14" i="2"/>
  <c r="G13" i="2"/>
  <c r="C13" i="2"/>
  <c r="G15" i="2"/>
  <c r="C15" i="2"/>
  <c r="E15" i="2"/>
  <c r="G12" i="2"/>
  <c r="C12" i="2"/>
  <c r="G11" i="2"/>
  <c r="C11" i="2"/>
  <c r="H14" i="2"/>
  <c r="D14" i="2"/>
  <c r="B14" i="2"/>
  <c r="A14" i="2"/>
  <c r="H13" i="2"/>
  <c r="D13" i="2"/>
  <c r="B13" i="2"/>
  <c r="A13" i="2"/>
  <c r="H15" i="2"/>
  <c r="D15" i="2"/>
  <c r="B15" i="2"/>
  <c r="A15" i="2"/>
  <c r="H12" i="2"/>
  <c r="D12" i="2"/>
  <c r="B12" i="2"/>
  <c r="A12" i="2"/>
  <c r="H11" i="2"/>
  <c r="D11" i="2"/>
  <c r="B11" i="2"/>
  <c r="A11" i="2"/>
  <c r="Q21" i="1"/>
  <c r="Q22" i="1"/>
  <c r="Q25" i="1"/>
  <c r="Q26" i="1"/>
  <c r="C7" i="1"/>
  <c r="E23" i="1"/>
  <c r="F23" i="1"/>
  <c r="C8" i="1"/>
  <c r="E24" i="1"/>
  <c r="F24" i="1"/>
  <c r="G24" i="1"/>
  <c r="H24" i="1"/>
  <c r="Q24" i="1"/>
  <c r="F17" i="1"/>
  <c r="C17" i="1"/>
  <c r="E12" i="2"/>
  <c r="E11" i="2"/>
  <c r="E21" i="1"/>
  <c r="F21" i="1"/>
  <c r="G25" i="1"/>
  <c r="K25" i="1"/>
  <c r="E22" i="1"/>
  <c r="F22" i="1"/>
  <c r="G22" i="1"/>
  <c r="K22" i="1"/>
  <c r="G23" i="1"/>
  <c r="I23" i="1"/>
  <c r="G21" i="1"/>
  <c r="E25" i="1"/>
  <c r="F25" i="1"/>
  <c r="G26" i="1"/>
  <c r="J26" i="1"/>
  <c r="K21" i="1"/>
  <c r="E13" i="2"/>
  <c r="C12" i="1"/>
  <c r="C11" i="1"/>
  <c r="O25" i="1" l="1"/>
  <c r="O24" i="1"/>
  <c r="O21" i="1"/>
  <c r="O26" i="1"/>
  <c r="C15" i="1"/>
  <c r="O22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<sst xmlns="http://schemas.openxmlformats.org/spreadsheetml/2006/main" count="107" uniqueCount="80">
  <si>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</si>
  <si>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</si>
  <si>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</si>
  <si>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</si>
  <si>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</si>
  <si>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</si>
  <si>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</si>
  <si>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</si>
  <si>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</si>
  <si>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</si>
  <si>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</si>
  <si>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</si>
  <si>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</si>
  <si>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</si>
  <si>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</si>
  <si>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</si>
  <si>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</si>
  <si>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</si>
  <si>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</si>
  <si>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</si>
  <si>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</si>
  <si>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</si>
  <si>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</si>
  <si>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</si>
  <si>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</si>
  <si>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</si>
  <si>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</si>
  <si>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</si>
  <si>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</si>
  <si>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</si>
  <si>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</si>
  <si>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</si>
  <si>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</si>
  <si>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</si>
  <si>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</si>
  <si>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</si>
  <si>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>V0910 Cyg / na</t>
  </si>
  <si>
    <t xml:space="preserve">EA/SD     </t>
  </si>
  <si>
    <t>IBVS 5781</t>
  </si>
  <si>
    <t>IBVS 5761</t>
  </si>
  <si>
    <t>OEJV 0074</t>
  </si>
  <si>
    <t>CCD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</si>
  <si>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</si>
  <si>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</si>
  <si>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</si>
  <si>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</si>
  <si>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</si>
  <si>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</si>
  <si>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</si>
  <si>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</si>
  <si>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</si>
  <si>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</si>
  <si>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2451699.40871 </t>
  </si>
  <si>
    <t> 03.06.2000 21:48 </t>
  </si>
  <si>
    <t> -0.01404 </t>
  </si>
  <si>
    <t>C </t>
  </si>
  <si>
    <t>o</t>
  </si>
  <si>
    <t> J.Šafár </t>
  </si>
  <si>
    <t>OEJV 0074 </t>
  </si>
  <si>
    <t>2452124.52110 </t>
  </si>
  <si>
    <t> 03.08.2001 00:30 </t>
  </si>
  <si>
    <t> -0.00942 </t>
  </si>
  <si>
    <t> Koss et al. </t>
  </si>
  <si>
    <t>2452187.321 </t>
  </si>
  <si>
    <t> 04.10.2001 19:42 </t>
  </si>
  <si>
    <t> -0.010 </t>
  </si>
  <si>
    <t>E </t>
  </si>
  <si>
    <t>?</t>
  </si>
  <si>
    <t> R.Diethelm </t>
  </si>
  <si>
    <t> BBS 126 </t>
  </si>
  <si>
    <t>2453934.4333 </t>
  </si>
  <si>
    <t> 17.07.2006 22:23 </t>
  </si>
  <si>
    <t> -0.0258 </t>
  </si>
  <si>
    <t> R. Diethelm </t>
  </si>
  <si>
    <t> BBS 133 (=IBVS 5781) </t>
  </si>
  <si>
    <t>2453942.4846 </t>
  </si>
  <si>
    <t> 25.07.2006 23:37 </t>
  </si>
  <si>
    <t>-I</t>
  </si>
  <si>
    <t> F. Agerer </t>
  </si>
  <si>
    <t>BAVM 183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</si>
</sst>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V910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2-4F12-8DD3-38652C6F07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1.072500000736909E-2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2-4F12-8DD3-38652C6F07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5">
                  <c:v>-3.6249999975552782E-3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2-4F12-8DD3-38652C6F07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5.7000000088009983E-3</c:v>
                </c:pt>
                <c:pt idx="1">
                  <c:v>1.0770000000775326E-2</c:v>
                </c:pt>
                <c:pt idx="4">
                  <c:v>-3.6499999987427145E-3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2-4F12-8DD3-38652C6F07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2-4F12-8DD3-38652C6F07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2-4F12-8DD3-38652C6F07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3.0000000000000001E-3</c:v>
                  </c:pt>
                  <c:pt idx="1">
                    <c:v>0</c:v>
                  </c:pt>
                  <c:pt idx="2">
                    <c:v>0</c:v>
                  </c:pt>
                  <c:pt idx="4">
                    <c:v>5.0000000000000001E-4</c:v>
                  </c:pt>
                  <c:pt idx="5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B2-4F12-8DD3-38652C6F07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-498</c:v>
                </c:pt>
                <c:pt idx="1">
                  <c:v>-234</c:v>
                </c:pt>
                <c:pt idx="2">
                  <c:v>-195</c:v>
                </c:pt>
                <c:pt idx="3">
                  <c:v>0</c:v>
                </c:pt>
                <c:pt idx="4">
                  <c:v>890</c:v>
                </c:pt>
                <c:pt idx="5">
                  <c:v>895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9.2626425119104877E-3</c:v>
                </c:pt>
                <c:pt idx="1">
                  <c:v>6.815126720590859E-3</c:v>
                </c:pt>
                <c:pt idx="2">
                  <c:v>6.4535618877822765E-3</c:v>
                </c:pt>
                <c:pt idx="3">
                  <c:v>4.6457377237393693E-3</c:v>
                </c:pt>
                <c:pt idx="4">
                  <c:v>-3.6053571788154399E-3</c:v>
                </c:pt>
                <c:pt idx="5">
                  <c:v>-3.6517116445601294E-3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B2-4F12-8DD3-38652C6F0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898032"/>
        <c:axId val="1"/>
      </c:scatterChart>
      <c:valAx>
        <c:axId val="768898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898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676275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E94AC7-FD6B-51C4-56D2-A9281308F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52501.31</v>
      </c>
      <c r="G1" s="3">
        <v>1.610255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52501.31</v>
      </c>
      <c r="D4" s="9">
        <v>1.610255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52501.31</v>
      </c>
    </row>
    <row r="8" spans="1:8" x14ac:dyDescent="0.2">
      <c r="A8" t="s">
        <v>2</v>
      </c>
      <c r="C8">
        <f>D4</f>
        <v>1.610255</v>
      </c>
      <c r="D8" s="29"/>
    </row>
    <row r="9" spans="1:8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INTERCEPT(INDIRECT($D$9):G975,INDIRECT($C$9):F975)</f>
        <v>4.6457377237393693E-3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SLOPE(INDIRECT($D$9):G975,INDIRECT($C$9):F975)</f>
        <v>-9.2708931489379879E-6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(C7+C11)+(C8+C12)*INT(MAX(F21:F3516))</f>
        <v>53942.484573288355</v>
      </c>
      <c r="E15" s="3"/>
      <c r="F15" s="12"/>
    </row>
    <row r="16" spans="1:8" x14ac:dyDescent="0.2">
      <c r="A16" s="18" t="s">
        <v>3</v>
      </c>
      <c r="B16" s="12"/>
      <c r="C16" s="19">
        <f ca="1">+C8+C12</f>
        <v>1.610245729106851</v>
      </c>
      <c r="E16" s="12"/>
      <c r="F16" s="12"/>
    </row>
    <row r="17" spans="1:17" ht="13.5" thickBot="1" x14ac:dyDescent="0.25">
      <c r="A17" s="16" t="s">
        <v>26</v>
      </c>
      <c r="B17" s="12"/>
      <c r="C17" s="12">
        <f>COUNT(C21:C2174)</f>
        <v>6</v>
      </c>
      <c r="E17" s="16" t="s">
        <v>29</v>
      </c>
      <c r="F17" s="17">
        <f ca="1">TODAY()+15018.5-B5/24</f>
        <v>60342.5</v>
      </c>
    </row>
    <row r="18" spans="1:17" ht="14.25" thickTop="1" thickBot="1" x14ac:dyDescent="0.25">
      <c r="A18" s="18" t="s">
        <v>4</v>
      </c>
      <c r="B18" s="12"/>
      <c r="C18" s="21">
        <f ca="1">+C15</f>
        <v>53942.484573288355</v>
      </c>
      <c r="D18" s="22">
        <f ca="1">+C16</f>
        <v>1.610245729106851</v>
      </c>
      <c r="E18" s="16" t="s">
        <v>30</v>
      </c>
      <c r="F18" s="17">
        <f ca="1">ROUND(2*(F17-C15)/C16,0)/2+1</f>
        <v>3975.5</v>
      </c>
    </row>
    <row r="19" spans="1:17" ht="13.5" thickTop="1" x14ac:dyDescent="0.2">
      <c r="E19" s="16" t="s">
        <v>31</v>
      </c>
      <c r="F19" s="20">
        <f ca="1">+C15+C16*F18-15018.5-C5/24</f>
        <v>45325.912302685974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48</v>
      </c>
      <c r="I20" s="7" t="s">
        <v>51</v>
      </c>
      <c r="J20" s="7" t="s">
        <v>45</v>
      </c>
      <c r="K20" s="7" t="s">
        <v>41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4" t="s">
        <v>40</v>
      </c>
      <c r="B21" s="35" t="s">
        <v>33</v>
      </c>
      <c r="C21" s="36">
        <v>51699.408710000003</v>
      </c>
      <c r="D21" s="36">
        <v>3.0000000000000001E-3</v>
      </c>
      <c r="E21">
        <f t="shared" ref="E21:E26" si="0">+(C21-C$7)/C$8</f>
        <v>-497.99646018797915</v>
      </c>
      <c r="F21">
        <f t="shared" ref="F21:F26" si="1">ROUND(2*E21,0)/2</f>
        <v>-498</v>
      </c>
      <c r="G21">
        <f t="shared" ref="G21:G26" si="2">+C21-(C$7+F21*C$8)</f>
        <v>5.7000000088009983E-3</v>
      </c>
      <c r="K21">
        <f>+G21</f>
        <v>5.7000000088009983E-3</v>
      </c>
      <c r="O21">
        <f t="shared" ref="O21:O26" ca="1" si="3">+C$11+C$12*$F21</f>
        <v>9.2626425119104877E-3</v>
      </c>
      <c r="Q21" s="2">
        <f t="shared" ref="Q21:Q26" si="4">+C21-15018.5</f>
        <v>36680.908710000003</v>
      </c>
    </row>
    <row r="22" spans="1:17" x14ac:dyDescent="0.2">
      <c r="A22" s="34" t="s">
        <v>40</v>
      </c>
      <c r="B22" s="35" t="s">
        <v>33</v>
      </c>
      <c r="C22" s="36">
        <v>52124.521099999998</v>
      </c>
      <c r="D22" s="36" t="s">
        <v>41</v>
      </c>
      <c r="E22">
        <f t="shared" si="0"/>
        <v>-233.9933116183459</v>
      </c>
      <c r="F22">
        <f t="shared" si="1"/>
        <v>-234</v>
      </c>
      <c r="G22">
        <f t="shared" si="2"/>
        <v>1.0770000000775326E-2</v>
      </c>
      <c r="K22">
        <f>+G22</f>
        <v>1.0770000000775326E-2</v>
      </c>
      <c r="O22">
        <f t="shared" ca="1" si="3"/>
        <v>6.815126720590859E-3</v>
      </c>
      <c r="Q22" s="2">
        <f t="shared" si="4"/>
        <v>37106.021099999998</v>
      </c>
    </row>
    <row r="23" spans="1:17" x14ac:dyDescent="0.2">
      <c r="A23" s="50" t="s">
        <v>69</v>
      </c>
      <c r="B23" s="52" t="s">
        <v>33</v>
      </c>
      <c r="C23" s="51">
        <v>52187.321000000004</v>
      </c>
      <c r="D23" s="51" t="s">
        <v>51</v>
      </c>
      <c r="E23">
        <f t="shared" si="0"/>
        <v>-194.99333956422686</v>
      </c>
      <c r="F23">
        <f t="shared" si="1"/>
        <v>-195</v>
      </c>
      <c r="G23">
        <f t="shared" si="2"/>
        <v>1.072500000736909E-2</v>
      </c>
      <c r="I23">
        <f>+G23</f>
        <v>1.072500000736909E-2</v>
      </c>
      <c r="O23">
        <f t="shared" ca="1" si="3"/>
        <v>6.4535618877822765E-3</v>
      </c>
      <c r="Q23" s="2">
        <f t="shared" si="4"/>
        <v>37168.821000000004</v>
      </c>
    </row>
    <row r="24" spans="1:17" x14ac:dyDescent="0.2">
      <c r="A24" s="31" t="s">
        <v>34</v>
      </c>
      <c r="B24" s="30" t="s">
        <v>33</v>
      </c>
      <c r="C24" s="31">
        <v>52501.31</v>
      </c>
      <c r="D24" s="28"/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O24">
        <f t="shared" ca="1" si="3"/>
        <v>4.6457377237393693E-3</v>
      </c>
      <c r="Q24" s="2">
        <f t="shared" si="4"/>
        <v>37482.81</v>
      </c>
    </row>
    <row r="25" spans="1:17" x14ac:dyDescent="0.2">
      <c r="A25" s="32" t="s">
        <v>38</v>
      </c>
      <c r="B25" s="30" t="s">
        <v>33</v>
      </c>
      <c r="C25" s="31">
        <v>53934.433299999997</v>
      </c>
      <c r="D25" s="31">
        <v>5.0000000000000001E-4</v>
      </c>
      <c r="E25">
        <f t="shared" si="0"/>
        <v>889.99773327826915</v>
      </c>
      <c r="F25">
        <f t="shared" si="1"/>
        <v>890</v>
      </c>
      <c r="G25">
        <f t="shared" si="2"/>
        <v>-3.6499999987427145E-3</v>
      </c>
      <c r="K25">
        <f>+G25</f>
        <v>-3.6499999987427145E-3</v>
      </c>
      <c r="O25">
        <f t="shared" ca="1" si="3"/>
        <v>-3.6053571788154399E-3</v>
      </c>
      <c r="Q25" s="2">
        <f t="shared" si="4"/>
        <v>38915.933299999997</v>
      </c>
    </row>
    <row r="26" spans="1:17" x14ac:dyDescent="0.2">
      <c r="A26" s="31" t="s">
        <v>39</v>
      </c>
      <c r="B26" s="33" t="s">
        <v>33</v>
      </c>
      <c r="C26" s="31">
        <v>53942.484600000003</v>
      </c>
      <c r="D26" s="31">
        <v>1.6999999999999999E-3</v>
      </c>
      <c r="E26">
        <f t="shared" si="0"/>
        <v>894.99774880376447</v>
      </c>
      <c r="F26">
        <f t="shared" si="1"/>
        <v>895</v>
      </c>
      <c r="G26">
        <f t="shared" si="2"/>
        <v>-3.6249999975552782E-3</v>
      </c>
      <c r="J26">
        <f>+G26</f>
        <v>-3.6249999975552782E-3</v>
      </c>
      <c r="O26">
        <f t="shared" ca="1" si="3"/>
        <v>-3.6517116445601294E-3</v>
      </c>
      <c r="Q26" s="2">
        <f t="shared" si="4"/>
        <v>38923.984600000003</v>
      </c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4"/>
  <sheetViews>
    <sheetView workbookViewId="0">
      <selection activeCell="A15" sqref="A15:D15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42</v>
      </c>
      <c r="I1" s="38" t="s">
        <v>43</v>
      </c>
      <c r="J1" s="39" t="s">
        <v>41</v>
      </c>
    </row>
    <row r="2" spans="1:16" x14ac:dyDescent="0.2">
      <c r="I2" s="40" t="s">
        <v>44</v>
      </c>
      <c r="J2" s="41" t="s">
        <v>45</v>
      </c>
    </row>
    <row r="3" spans="1:16" x14ac:dyDescent="0.2">
      <c r="A3" s="42" t="s">
        <v>46</v>
      </c>
      <c r="I3" s="40" t="s">
        <v>47</v>
      </c>
      <c r="J3" s="41" t="s">
        <v>48</v>
      </c>
    </row>
    <row r="4" spans="1:16" x14ac:dyDescent="0.2">
      <c r="I4" s="40" t="s">
        <v>49</v>
      </c>
      <c r="J4" s="41" t="s">
        <v>48</v>
      </c>
    </row>
    <row r="5" spans="1:16" ht="13.5" thickBot="1" x14ac:dyDescent="0.25">
      <c r="I5" s="43" t="s">
        <v>50</v>
      </c>
      <c r="J5" s="44" t="s">
        <v>51</v>
      </c>
    </row>
    <row r="10" spans="1:16" ht="13.5" thickBot="1" x14ac:dyDescent="0.25"/>
    <row r="11" spans="1:16" ht="12.75" customHeight="1" thickBot="1" x14ac:dyDescent="0.25">
      <c r="A11" s="10" t="str">
        <f>P11</f>
        <v>OEJV 0074 </v>
      </c>
      <c r="B11" s="3" t="str">
        <f>IF(H11=INT(H11),"I","II")</f>
        <v>I</v>
      </c>
      <c r="C11" s="10">
        <f>1*G11</f>
        <v>51699.408710000003</v>
      </c>
      <c r="D11" s="12" t="str">
        <f>VLOOKUP(F11,I$1:J$5,2,FALSE)</f>
        <v>vis</v>
      </c>
      <c r="E11" s="45">
        <f>VLOOKUP(C11,Active!C$21:E$973,3,FALSE)</f>
        <v>-497.99646018797915</v>
      </c>
      <c r="F11" s="3" t="s">
        <v>50</v>
      </c>
      <c r="G11" s="12" t="str">
        <f>MID(I11,3,LEN(I11)-3)</f>
        <v>51699.40871</v>
      </c>
      <c r="H11" s="10">
        <f>1*K11</f>
        <v>10602</v>
      </c>
      <c r="I11" s="46" t="s">
        <v>52</v>
      </c>
      <c r="J11" s="47" t="s">
        <v>53</v>
      </c>
      <c r="K11" s="46">
        <v>10602</v>
      </c>
      <c r="L11" s="46" t="s">
        <v>54</v>
      </c>
      <c r="M11" s="47" t="s">
        <v>55</v>
      </c>
      <c r="N11" s="47" t="s">
        <v>56</v>
      </c>
      <c r="O11" s="48" t="s">
        <v>57</v>
      </c>
      <c r="P11" s="49" t="s">
        <v>58</v>
      </c>
    </row>
    <row r="12" spans="1:16" ht="12.75" customHeight="1" thickBot="1" x14ac:dyDescent="0.25">
      <c r="A12" s="10" t="str">
        <f>P12</f>
        <v>OEJV 0074 </v>
      </c>
      <c r="B12" s="3" t="str">
        <f>IF(H12=INT(H12),"I","II")</f>
        <v>I</v>
      </c>
      <c r="C12" s="10">
        <f>1*G12</f>
        <v>52124.521099999998</v>
      </c>
      <c r="D12" s="12" t="str">
        <f>VLOOKUP(F12,I$1:J$5,2,FALSE)</f>
        <v>vis</v>
      </c>
      <c r="E12" s="45">
        <f>VLOOKUP(C12,Active!C$21:E$973,3,FALSE)</f>
        <v>-233.9933116183459</v>
      </c>
      <c r="F12" s="3" t="s">
        <v>50</v>
      </c>
      <c r="G12" s="12" t="str">
        <f>MID(I12,3,LEN(I12)-3)</f>
        <v>52124.52110</v>
      </c>
      <c r="H12" s="10">
        <f>1*K12</f>
        <v>10866</v>
      </c>
      <c r="I12" s="46" t="s">
        <v>59</v>
      </c>
      <c r="J12" s="47" t="s">
        <v>60</v>
      </c>
      <c r="K12" s="46">
        <v>10866</v>
      </c>
      <c r="L12" s="46" t="s">
        <v>61</v>
      </c>
      <c r="M12" s="47" t="s">
        <v>55</v>
      </c>
      <c r="N12" s="47" t="s">
        <v>56</v>
      </c>
      <c r="O12" s="48" t="s">
        <v>62</v>
      </c>
      <c r="P12" s="49" t="s">
        <v>58</v>
      </c>
    </row>
    <row r="13" spans="1:16" ht="12.75" customHeight="1" thickBot="1" x14ac:dyDescent="0.25">
      <c r="A13" s="10" t="str">
        <f>P13</f>
        <v> BBS 133 (=IBVS 5781) </v>
      </c>
      <c r="B13" s="3" t="str">
        <f>IF(H13=INT(H13),"I","II")</f>
        <v>I</v>
      </c>
      <c r="C13" s="10">
        <f>1*G13</f>
        <v>53934.433299999997</v>
      </c>
      <c r="D13" s="12" t="str">
        <f>VLOOKUP(F13,I$1:J$5,2,FALSE)</f>
        <v>vis</v>
      </c>
      <c r="E13" s="45">
        <f>VLOOKUP(C13,Active!C$21:E$973,3,FALSE)</f>
        <v>889.99773327826915</v>
      </c>
      <c r="F13" s="3" t="s">
        <v>50</v>
      </c>
      <c r="G13" s="12" t="str">
        <f>MID(I13,3,LEN(I13)-3)</f>
        <v>53934.4333</v>
      </c>
      <c r="H13" s="10">
        <f>1*K13</f>
        <v>11990</v>
      </c>
      <c r="I13" s="46" t="s">
        <v>70</v>
      </c>
      <c r="J13" s="47" t="s">
        <v>71</v>
      </c>
      <c r="K13" s="46">
        <v>11990</v>
      </c>
      <c r="L13" s="46" t="s">
        <v>72</v>
      </c>
      <c r="M13" s="47" t="s">
        <v>55</v>
      </c>
      <c r="N13" s="47" t="s">
        <v>50</v>
      </c>
      <c r="O13" s="48" t="s">
        <v>73</v>
      </c>
      <c r="P13" s="48" t="s">
        <v>74</v>
      </c>
    </row>
    <row r="14" spans="1:16" ht="12.75" customHeight="1" thickBot="1" x14ac:dyDescent="0.25">
      <c r="A14" s="10" t="str">
        <f>P14</f>
        <v>BAVM 183 </v>
      </c>
      <c r="B14" s="3" t="str">
        <f>IF(H14=INT(H14),"I","II")</f>
        <v>I</v>
      </c>
      <c r="C14" s="10">
        <f>1*G14</f>
        <v>53942.484600000003</v>
      </c>
      <c r="D14" s="12" t="str">
        <f>VLOOKUP(F14,I$1:J$5,2,FALSE)</f>
        <v>vis</v>
      </c>
      <c r="E14" s="45">
        <f>VLOOKUP(C14,Active!C$21:E$973,3,FALSE)</f>
        <v>894.99774880376447</v>
      </c>
      <c r="F14" s="3" t="s">
        <v>50</v>
      </c>
      <c r="G14" s="12" t="str">
        <f>MID(I14,3,LEN(I14)-3)</f>
        <v>53942.4846</v>
      </c>
      <c r="H14" s="10">
        <f>1*K14</f>
        <v>11995</v>
      </c>
      <c r="I14" s="46" t="s">
        <v>75</v>
      </c>
      <c r="J14" s="47" t="s">
        <v>76</v>
      </c>
      <c r="K14" s="46">
        <v>11995</v>
      </c>
      <c r="L14" s="46" t="s">
        <v>72</v>
      </c>
      <c r="M14" s="47" t="s">
        <v>55</v>
      </c>
      <c r="N14" s="47" t="s">
        <v>77</v>
      </c>
      <c r="O14" s="48" t="s">
        <v>78</v>
      </c>
      <c r="P14" s="49" t="s">
        <v>79</v>
      </c>
    </row>
    <row r="15" spans="1:16" ht="12.75" customHeight="1" thickBot="1" x14ac:dyDescent="0.25">
      <c r="A15" s="10" t="str">
        <f>P15</f>
        <v> BBS 126 </v>
      </c>
      <c r="B15" s="3" t="str">
        <f>IF(H15=INT(H15),"I","II")</f>
        <v>I</v>
      </c>
      <c r="C15" s="10">
        <f>1*G15</f>
        <v>52187.321000000004</v>
      </c>
      <c r="D15" s="12" t="str">
        <f>VLOOKUP(F15,I$1:J$5,2,FALSE)</f>
        <v>vis</v>
      </c>
      <c r="E15" s="45">
        <f>VLOOKUP(C15,Active!C$21:E$973,3,FALSE)</f>
        <v>-194.99333956422686</v>
      </c>
      <c r="F15" s="3" t="s">
        <v>50</v>
      </c>
      <c r="G15" s="12" t="str">
        <f>MID(I15,3,LEN(I15)-3)</f>
        <v>52187.321</v>
      </c>
      <c r="H15" s="10">
        <f>1*K15</f>
        <v>10905</v>
      </c>
      <c r="I15" s="46" t="s">
        <v>63</v>
      </c>
      <c r="J15" s="47" t="s">
        <v>64</v>
      </c>
      <c r="K15" s="46">
        <v>10905</v>
      </c>
      <c r="L15" s="46" t="s">
        <v>65</v>
      </c>
      <c r="M15" s="47" t="s">
        <v>66</v>
      </c>
      <c r="N15" s="47" t="s">
        <v>67</v>
      </c>
      <c r="O15" s="48" t="s">
        <v>68</v>
      </c>
      <c r="P15" s="48" t="s">
        <v>69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</sheetData>
  <phoneticPr fontId="7" type="noConversion"/>
  <hyperlinks>
    <hyperlink ref="P11" r:id="rId1" display="http://var.astro.cz/oejv/issues/oejv0074.pdf"/>
    <hyperlink ref="P12" r:id="rId2" display="http://var.astro.cz/oejv/issues/oejv0074.pdf"/>
    <hyperlink ref="P14" r:id="rId3" display="http://www.bav-astro.de/sfs/BAVM_link.php?BAVMnr=18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2024-02-02T04:10:31Z</dcterms:modified>
</cp:coreProperties>
</file>