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E7C4AB2-DC59-4EDF-BD0D-E6787C329C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9" i="1"/>
  <c r="G18" i="2"/>
  <c r="C18" i="2"/>
  <c r="G17" i="2"/>
  <c r="C17" i="2"/>
  <c r="G16" i="2"/>
  <c r="C16" i="2"/>
  <c r="G15" i="2"/>
  <c r="C15" i="2"/>
  <c r="G14" i="2"/>
  <c r="C14" i="2"/>
  <c r="G43" i="2"/>
  <c r="C43" i="2"/>
  <c r="G13" i="2"/>
  <c r="C13" i="2"/>
  <c r="G12" i="2"/>
  <c r="C12" i="2"/>
  <c r="G11" i="2"/>
  <c r="C11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3" i="2"/>
  <c r="B43" i="2"/>
  <c r="D43" i="2"/>
  <c r="A43" i="2"/>
  <c r="H13" i="2"/>
  <c r="B13" i="2"/>
  <c r="D13" i="2"/>
  <c r="A13" i="2"/>
  <c r="H12" i="2"/>
  <c r="B12" i="2"/>
  <c r="D12" i="2"/>
  <c r="A12" i="2"/>
  <c r="H11" i="2"/>
  <c r="B11" i="2"/>
  <c r="D11" i="2"/>
  <c r="A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Q51" i="1"/>
  <c r="Q54" i="1"/>
  <c r="Q53" i="1"/>
  <c r="Q50" i="1"/>
  <c r="Q52" i="1"/>
  <c r="F16" i="1"/>
  <c r="C17" i="1"/>
  <c r="Q48" i="1"/>
  <c r="Q46" i="1"/>
  <c r="Q47" i="1"/>
  <c r="C8" i="1"/>
  <c r="C7" i="1"/>
  <c r="E21" i="1"/>
  <c r="F21" i="1"/>
  <c r="Q30" i="1"/>
  <c r="E41" i="2"/>
  <c r="E31" i="2"/>
  <c r="E12" i="2"/>
  <c r="E18" i="2"/>
  <c r="E13" i="2"/>
  <c r="E27" i="2"/>
  <c r="E48" i="1"/>
  <c r="F48" i="1"/>
  <c r="E40" i="1"/>
  <c r="F40" i="1"/>
  <c r="G40" i="1"/>
  <c r="I40" i="1"/>
  <c r="G34" i="1"/>
  <c r="I34" i="1"/>
  <c r="E32" i="1"/>
  <c r="F32" i="1"/>
  <c r="G32" i="1"/>
  <c r="I32" i="1"/>
  <c r="E23" i="1"/>
  <c r="F23" i="1"/>
  <c r="E54" i="1"/>
  <c r="F54" i="1"/>
  <c r="E30" i="1"/>
  <c r="F30" i="1"/>
  <c r="E45" i="1"/>
  <c r="F45" i="1"/>
  <c r="G45" i="1"/>
  <c r="I45" i="1"/>
  <c r="E37" i="1"/>
  <c r="F37" i="1"/>
  <c r="G37" i="1"/>
  <c r="I37" i="1"/>
  <c r="E28" i="1"/>
  <c r="F28" i="1"/>
  <c r="E51" i="1"/>
  <c r="F51" i="1"/>
  <c r="G51" i="1"/>
  <c r="J51" i="1"/>
  <c r="E42" i="1"/>
  <c r="F42" i="1"/>
  <c r="G42" i="1"/>
  <c r="I42" i="1"/>
  <c r="G36" i="1"/>
  <c r="I36" i="1"/>
  <c r="E34" i="1"/>
  <c r="F34" i="1"/>
  <c r="E25" i="1"/>
  <c r="F25" i="1"/>
  <c r="G25" i="1"/>
  <c r="I25" i="1"/>
  <c r="E47" i="1"/>
  <c r="F47" i="1"/>
  <c r="G47" i="1"/>
  <c r="J47" i="1"/>
  <c r="E39" i="1"/>
  <c r="F39" i="1"/>
  <c r="G39" i="1"/>
  <c r="I39" i="1"/>
  <c r="G33" i="1"/>
  <c r="I33" i="1"/>
  <c r="E31" i="1"/>
  <c r="F31" i="1"/>
  <c r="G31" i="1"/>
  <c r="I31" i="1"/>
  <c r="E22" i="1"/>
  <c r="F22" i="1"/>
  <c r="G22" i="1"/>
  <c r="I22" i="1"/>
  <c r="E53" i="1"/>
  <c r="F53" i="1"/>
  <c r="G53" i="1"/>
  <c r="J53" i="1"/>
  <c r="E44" i="1"/>
  <c r="F44" i="1"/>
  <c r="G44" i="1"/>
  <c r="I44" i="1"/>
  <c r="E36" i="1"/>
  <c r="F36" i="1"/>
  <c r="E27" i="1"/>
  <c r="F27" i="1"/>
  <c r="G27" i="1"/>
  <c r="I27" i="1"/>
  <c r="E50" i="1"/>
  <c r="F50" i="1"/>
  <c r="G50" i="1"/>
  <c r="J50" i="1"/>
  <c r="G43" i="1"/>
  <c r="I43" i="1"/>
  <c r="E41" i="1"/>
  <c r="F41" i="1"/>
  <c r="G41" i="1"/>
  <c r="I41" i="1"/>
  <c r="E33" i="1"/>
  <c r="F33" i="1"/>
  <c r="E24" i="1"/>
  <c r="F24" i="1"/>
  <c r="G24" i="1"/>
  <c r="I24" i="1"/>
  <c r="G21" i="1"/>
  <c r="G48" i="1"/>
  <c r="J48" i="1"/>
  <c r="E46" i="1"/>
  <c r="F46" i="1"/>
  <c r="G46" i="1"/>
  <c r="J46" i="1"/>
  <c r="E49" i="1"/>
  <c r="F49" i="1"/>
  <c r="G49" i="1"/>
  <c r="I49" i="1"/>
  <c r="E38" i="1"/>
  <c r="F38" i="1"/>
  <c r="G38" i="1"/>
  <c r="I38" i="1"/>
  <c r="E29" i="1"/>
  <c r="F29" i="1"/>
  <c r="G29" i="1"/>
  <c r="I29" i="1"/>
  <c r="G23" i="1"/>
  <c r="I23" i="1"/>
  <c r="G54" i="1"/>
  <c r="J54" i="1"/>
  <c r="E52" i="1"/>
  <c r="F52" i="1"/>
  <c r="G52" i="1"/>
  <c r="J52" i="1"/>
  <c r="G30" i="1"/>
  <c r="H30" i="1"/>
  <c r="E43" i="1"/>
  <c r="F43" i="1"/>
  <c r="E35" i="1"/>
  <c r="F35" i="1"/>
  <c r="G35" i="1"/>
  <c r="I35" i="1"/>
  <c r="G28" i="1"/>
  <c r="I28" i="1"/>
  <c r="E26" i="1"/>
  <c r="F26" i="1"/>
  <c r="G26" i="1"/>
  <c r="I26" i="1"/>
  <c r="E34" i="2"/>
  <c r="E17" i="2"/>
  <c r="E23" i="2"/>
  <c r="E37" i="2"/>
  <c r="E30" i="2"/>
  <c r="E26" i="2"/>
  <c r="I21" i="1"/>
  <c r="E39" i="2"/>
  <c r="E24" i="2"/>
  <c r="E15" i="2"/>
  <c r="E33" i="2"/>
  <c r="E25" i="2"/>
  <c r="E28" i="2"/>
  <c r="E42" i="2"/>
  <c r="E20" i="2"/>
  <c r="E16" i="2"/>
  <c r="E35" i="2"/>
  <c r="E43" i="2"/>
  <c r="E38" i="2"/>
  <c r="E21" i="2"/>
  <c r="E36" i="2"/>
  <c r="E22" i="2"/>
  <c r="E11" i="2"/>
  <c r="E40" i="2"/>
  <c r="E32" i="2"/>
  <c r="E29" i="2"/>
  <c r="E14" i="2"/>
  <c r="C12" i="1"/>
  <c r="C11" i="1"/>
  <c r="O37" i="1" l="1"/>
  <c r="O26" i="1"/>
  <c r="O53" i="1"/>
  <c r="O44" i="1"/>
  <c r="O42" i="1"/>
  <c r="O52" i="1"/>
  <c r="O45" i="1"/>
  <c r="O35" i="1"/>
  <c r="O24" i="1"/>
  <c r="O48" i="1"/>
  <c r="O30" i="1"/>
  <c r="O41" i="1"/>
  <c r="O21" i="1"/>
  <c r="O39" i="1"/>
  <c r="O50" i="1"/>
  <c r="O38" i="1"/>
  <c r="O25" i="1"/>
  <c r="O54" i="1"/>
  <c r="O43" i="1"/>
  <c r="O33" i="1"/>
  <c r="O22" i="1"/>
  <c r="O47" i="1"/>
  <c r="O51" i="1"/>
  <c r="O29" i="1"/>
  <c r="O40" i="1"/>
  <c r="O49" i="1"/>
  <c r="O46" i="1"/>
  <c r="O31" i="1"/>
  <c r="C15" i="1"/>
  <c r="O36" i="1"/>
  <c r="O23" i="1"/>
  <c r="O32" i="1"/>
  <c r="O27" i="1"/>
  <c r="O28" i="1"/>
  <c r="O3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<sst xmlns="http://schemas.openxmlformats.org/spreadsheetml/2006/main" count="392" uniqueCount="185">
  <si>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</si>
  <si>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</si>
  <si>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</si>
  <si>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</si>
  <si>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</si>
  <si>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</si>
  <si>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</si>
  <si>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</si>
  <si>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</si>
  <si>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</si>
  <si>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</si>
  <si>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</si>
  <si>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</si>
  <si>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</si>
  <si>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</si>
  <si>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</si>
  <si>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</si>
  <si>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</si>
  <si>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</si>
  <si>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</si>
  <si>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</si>
  <si>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</si>
  <si>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</si>
  <si>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</si>
  <si>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</si>
  <si>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</si>
  <si>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</si>
  <si>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</si>
  <si>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</si>
  <si>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5731</t>
  </si>
  <si>
    <t>II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</si>
  <si>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</si>
  <si>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</si>
  <si>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</si>
  <si>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</si>
  <si>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</si>
  <si>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</si>
  <si>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</si>
  <si>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</si>
  <si>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</si>
  <si>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</si>
  <si>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IBVS 5959</t>
  </si>
  <si>
    <t>I</t>
  </si>
  <si>
    <t>IBVS 6010</t>
  </si>
  <si>
    <t>V0957 Cyg / GSC 02151-04762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</si>
  <si>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</si>
  <si>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</si>
  <si>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</si>
  <si>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</si>
  <si>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</si>
  <si>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</si>
  <si>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</si>
  <si>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</si>
  <si>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</si>
  <si>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</si>
  <si>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</si>
  <si>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</si>
  <si>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</si>
  <si>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</si>
  <si>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</si>
  <si>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2432797.382 </t>
  </si>
  <si>
    <t> 02.09.1948 21:10 </t>
  </si>
  <si>
    <t> 0.043 </t>
  </si>
  <si>
    <t>P </t>
  </si>
  <si>
    <t> A.A.Wachmann </t>
  </si>
  <si>
    <t> AHSB 6.2.143 </t>
  </si>
  <si>
    <t>2432822.428 </t>
  </si>
  <si>
    <t> 27.09.1948 22:16 </t>
  </si>
  <si>
    <t> -0.014 </t>
  </si>
  <si>
    <t>2432905.269 </t>
  </si>
  <si>
    <t> 19.12.1948 18:27 </t>
  </si>
  <si>
    <t> -0.013 </t>
  </si>
  <si>
    <t>2433504.404 </t>
  </si>
  <si>
    <t> 10.08.1950 21:41 </t>
  </si>
  <si>
    <t> 0.000 </t>
  </si>
  <si>
    <t>2433514.436 </t>
  </si>
  <si>
    <t> 20.08.1950 22:27 </t>
  </si>
  <si>
    <t> -0.009 </t>
  </si>
  <si>
    <t>2433924.403 </t>
  </si>
  <si>
    <t> 04.10.1951 21:40 </t>
  </si>
  <si>
    <t> -0.055 </t>
  </si>
  <si>
    <t>2434134.473 </t>
  </si>
  <si>
    <t> 01.05.1952 23:21 </t>
  </si>
  <si>
    <t>2434237.391 </t>
  </si>
  <si>
    <t> 12.08.1952 21:23 </t>
  </si>
  <si>
    <t> -0.017 </t>
  </si>
  <si>
    <t>2434600.470 </t>
  </si>
  <si>
    <t> 10.08.1953 23:16 </t>
  </si>
  <si>
    <t> -0.093 </t>
  </si>
  <si>
    <t>2434601.375 </t>
  </si>
  <si>
    <t> 11.08.1953 21:00 </t>
  </si>
  <si>
    <t> -0.024 </t>
  </si>
  <si>
    <t>2434622.337 </t>
  </si>
  <si>
    <t> 01.09.1953 20:05 </t>
  </si>
  <si>
    <t> 0.019 </t>
  </si>
  <si>
    <t>2434627.345 </t>
  </si>
  <si>
    <t> 06.09.1953 20:16 </t>
  </si>
  <si>
    <t> 0.006 </t>
  </si>
  <si>
    <t>2434637.430 </t>
  </si>
  <si>
    <t> 16.09.1953 22:19 </t>
  </si>
  <si>
    <t> 0.050 </t>
  </si>
  <si>
    <t>2434662.450 </t>
  </si>
  <si>
    <t> 11.10.1953 22:48 </t>
  </si>
  <si>
    <t> -0.033 </t>
  </si>
  <si>
    <t>2434714.305 </t>
  </si>
  <si>
    <t> 02.12.1953 19:19 </t>
  </si>
  <si>
    <t> -0.057 </t>
  </si>
  <si>
    <t>2434980.480 </t>
  </si>
  <si>
    <t> 25.08.1954 23:31 </t>
  </si>
  <si>
    <t> 0.027 </t>
  </si>
  <si>
    <t>2434985.422 </t>
  </si>
  <si>
    <t> 30.08.1954 22:07 </t>
  </si>
  <si>
    <t> -0.051 </t>
  </si>
  <si>
    <t>2435303.493 </t>
  </si>
  <si>
    <t> 14.07.1955 23:49 </t>
  </si>
  <si>
    <t>2435360.409 </t>
  </si>
  <si>
    <t> 09.09.1955 21:48 </t>
  </si>
  <si>
    <t> 0.066 </t>
  </si>
  <si>
    <t>2435370.346 </t>
  </si>
  <si>
    <t> 19.09.1955 20:18 </t>
  </si>
  <si>
    <t> -0.038 </t>
  </si>
  <si>
    <t>2435432.312 </t>
  </si>
  <si>
    <t> 20.11.1955 19:29 </t>
  </si>
  <si>
    <t> 0.007 </t>
  </si>
  <si>
    <t>2436816.315 </t>
  </si>
  <si>
    <t> 04.09.1959 19:33 </t>
  </si>
  <si>
    <t> 0.005 </t>
  </si>
  <si>
    <t>2436846.405 </t>
  </si>
  <si>
    <t> 04.10.1959 21:43 </t>
  </si>
  <si>
    <t> -0.028 </t>
  </si>
  <si>
    <t>2449143.5649 </t>
  </si>
  <si>
    <t> 05.06.1993 01:33 </t>
  </si>
  <si>
    <t> 0.0692 </t>
  </si>
  <si>
    <t>E </t>
  </si>
  <si>
    <t>o</t>
  </si>
  <si>
    <t> W.Moschner </t>
  </si>
  <si>
    <t>BAVM 68 </t>
  </si>
  <si>
    <t>2450189.5694 </t>
  </si>
  <si>
    <t> 16.04.1996 01:39 </t>
  </si>
  <si>
    <t> 0.1205 </t>
  </si>
  <si>
    <t>C </t>
  </si>
  <si>
    <t>BAVM 178 </t>
  </si>
  <si>
    <t>2453661.3301 </t>
  </si>
  <si>
    <t> 17.10.2005 19:55 </t>
  </si>
  <si>
    <t> 0.1534 </t>
  </si>
  <si>
    <t>-I</t>
  </si>
  <si>
    <t> Agerer </t>
  </si>
  <si>
    <t>2453813.5886 </t>
  </si>
  <si>
    <t> 19.03.2006 02:07 </t>
  </si>
  <si>
    <t>11464.5</t>
  </si>
  <si>
    <t> 0.1211 </t>
  </si>
  <si>
    <t> W. Moschner </t>
  </si>
  <si>
    <t>BAVM 183 </t>
  </si>
  <si>
    <t>2454685.5189 </t>
  </si>
  <si>
    <t> 07.08.2008 00:27 </t>
  </si>
  <si>
    <t>11985.5</t>
  </si>
  <si>
    <t> 0.1448 </t>
  </si>
  <si>
    <t> F.Agerer </t>
  </si>
  <si>
    <t>BAVM 203 </t>
  </si>
  <si>
    <t>2455305.5538 </t>
  </si>
  <si>
    <t> 19.04.2010 01:17 </t>
  </si>
  <si>
    <t>12356</t>
  </si>
  <si>
    <t> 0.1387 </t>
  </si>
  <si>
    <t> W.Moschner &amp; P.Frank </t>
  </si>
  <si>
    <t>BAVM 214 </t>
  </si>
  <si>
    <t>2455429.3940 </t>
  </si>
  <si>
    <t> 20.08.2010 21:27 </t>
  </si>
  <si>
    <t>12430</t>
  </si>
  <si>
    <t> 0.1380 </t>
  </si>
  <si>
    <t>BAVM 215 </t>
  </si>
  <si>
    <t>2455690.4605 </t>
  </si>
  <si>
    <t> 08.05.2011 23:03 </t>
  </si>
  <si>
    <t>12586</t>
  </si>
  <si>
    <t> 0.1346 </t>
  </si>
  <si>
    <t>BAVM 220 </t>
  </si>
  <si>
    <t>2456203.4017 </t>
  </si>
  <si>
    <t> 02.10.2012 21:38 </t>
  </si>
  <si>
    <t>12892.5</t>
  </si>
  <si>
    <t> 0.1403 </t>
  </si>
  <si>
    <t>BAVM 231 </t>
  </si>
  <si>
    <t>2456905.4512 </t>
  </si>
  <si>
    <t> 04.09.2014 22:49 </t>
  </si>
  <si>
    <t>13312</t>
  </si>
  <si>
    <t> 0.1461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</si>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</sst>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-9.259839999867836E-2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B-418A-81CB-F4FB8DA620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4.2696849995991215E-2</c:v>
                </c:pt>
                <c:pt idx="1">
                  <c:v>-1.4179650002915878E-2</c:v>
                </c:pt>
                <c:pt idx="2">
                  <c:v>-1.2672099997871555E-2</c:v>
                </c:pt>
                <c:pt idx="3">
                  <c:v>3.4210000012535602E-4</c:v>
                </c:pt>
                <c:pt idx="4">
                  <c:v>-8.808499995211605E-3</c:v>
                </c:pt>
                <c:pt idx="5">
                  <c:v>-5.5458000002545305E-2</c:v>
                </c:pt>
                <c:pt idx="6">
                  <c:v>-1.285805000225082E-2</c:v>
                </c:pt>
                <c:pt idx="7">
                  <c:v>-1.6651699996145908E-2</c:v>
                </c:pt>
                <c:pt idx="8">
                  <c:v>-9.259839999867836E-2</c:v>
                </c:pt>
                <c:pt idx="10">
                  <c:v>-2.4360950003028847E-2</c:v>
                </c:pt>
                <c:pt idx="11">
                  <c:v>1.8575299996882677E-2</c:v>
                </c:pt>
                <c:pt idx="12">
                  <c:v>6.0000000012223609E-3</c:v>
                </c:pt>
                <c:pt idx="13">
                  <c:v>4.9849399998493027E-2</c:v>
                </c:pt>
                <c:pt idx="14">
                  <c:v>-3.3027100005710963E-2</c:v>
                </c:pt>
                <c:pt idx="15">
                  <c:v>-5.7305199996335432E-2</c:v>
                </c:pt>
                <c:pt idx="16">
                  <c:v>2.7203900004678871E-2</c:v>
                </c:pt>
                <c:pt idx="17">
                  <c:v>-5.1371400004427414E-2</c:v>
                </c:pt>
                <c:pt idx="18">
                  <c:v>4.9859600003401283E-2</c:v>
                </c:pt>
                <c:pt idx="19">
                  <c:v>6.6006200002448168E-2</c:v>
                </c:pt>
                <c:pt idx="20">
                  <c:v>-3.8144400001328904E-2</c:v>
                </c:pt>
                <c:pt idx="21">
                  <c:v>7.426899996062275E-3</c:v>
                </c:pt>
                <c:pt idx="22">
                  <c:v>5.1692000051843934E-3</c:v>
                </c:pt>
                <c:pt idx="23">
                  <c:v>-2.8282600003876723E-2</c:v>
                </c:pt>
                <c:pt idx="24">
                  <c:v>6.9182599996565841E-2</c:v>
                </c:pt>
                <c:pt idx="28">
                  <c:v>0.14481395000620978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B-418A-81CB-F4FB8DA620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5">
                  <c:v>0.12049510000360897</c:v>
                </c:pt>
                <c:pt idx="26">
                  <c:v>0.1533751500028302</c:v>
                </c:pt>
                <c:pt idx="27">
                  <c:v>0.12109105000126874</c:v>
                </c:pt>
                <c:pt idx="29">
                  <c:v>0.13866440000128932</c:v>
                </c:pt>
                <c:pt idx="30">
                  <c:v>0.13800700000138022</c:v>
                </c:pt>
                <c:pt idx="31">
                  <c:v>0.13459139999758918</c:v>
                </c:pt>
                <c:pt idx="32">
                  <c:v>0.14034825000271667</c:v>
                </c:pt>
                <c:pt idx="33">
                  <c:v>0.14606880000064848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B-418A-81CB-F4FB8DA620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B-418A-81CB-F4FB8DA620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B-418A-81CB-F4FB8DA620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2B-418A-81CB-F4FB8DA620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1.2999999999999999E-3</c:v>
                  </c:pt>
                  <c:pt idx="26">
                    <c:v>1.1999999999999999E-3</c:v>
                  </c:pt>
                  <c:pt idx="27">
                    <c:v>2.2000000000000001E-3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2E-3</c:v>
                  </c:pt>
                  <c:pt idx="31">
                    <c:v>4.7999999999999996E-3</c:v>
                  </c:pt>
                  <c:pt idx="32">
                    <c:v>9.9000000000000008E-3</c:v>
                  </c:pt>
                  <c:pt idx="3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2B-418A-81CB-F4FB8DA620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-1093.5</c:v>
                </c:pt>
                <c:pt idx="1">
                  <c:v>-1078.5</c:v>
                </c:pt>
                <c:pt idx="2">
                  <c:v>-1029</c:v>
                </c:pt>
                <c:pt idx="3">
                  <c:v>-671</c:v>
                </c:pt>
                <c:pt idx="4">
                  <c:v>-665</c:v>
                </c:pt>
                <c:pt idx="5">
                  <c:v>-420</c:v>
                </c:pt>
                <c:pt idx="6">
                  <c:v>-294.5</c:v>
                </c:pt>
                <c:pt idx="7">
                  <c:v>-233</c:v>
                </c:pt>
                <c:pt idx="8">
                  <c:v>-16</c:v>
                </c:pt>
                <c:pt idx="9">
                  <c:v>-16</c:v>
                </c:pt>
                <c:pt idx="10">
                  <c:v>-15.5</c:v>
                </c:pt>
                <c:pt idx="11">
                  <c:v>-3</c:v>
                </c:pt>
                <c:pt idx="12">
                  <c:v>0</c:v>
                </c:pt>
                <c:pt idx="13">
                  <c:v>6</c:v>
                </c:pt>
                <c:pt idx="14">
                  <c:v>21</c:v>
                </c:pt>
                <c:pt idx="15">
                  <c:v>52</c:v>
                </c:pt>
                <c:pt idx="16">
                  <c:v>211</c:v>
                </c:pt>
                <c:pt idx="17">
                  <c:v>214</c:v>
                </c:pt>
                <c:pt idx="18">
                  <c:v>404</c:v>
                </c:pt>
                <c:pt idx="19">
                  <c:v>438</c:v>
                </c:pt>
                <c:pt idx="20">
                  <c:v>444</c:v>
                </c:pt>
                <c:pt idx="21">
                  <c:v>481</c:v>
                </c:pt>
                <c:pt idx="22">
                  <c:v>1308</c:v>
                </c:pt>
                <c:pt idx="23">
                  <c:v>1326</c:v>
                </c:pt>
                <c:pt idx="24">
                  <c:v>8674</c:v>
                </c:pt>
                <c:pt idx="25">
                  <c:v>9299</c:v>
                </c:pt>
                <c:pt idx="26">
                  <c:v>11373.5</c:v>
                </c:pt>
                <c:pt idx="27">
                  <c:v>11464.5</c:v>
                </c:pt>
                <c:pt idx="28">
                  <c:v>11985.5</c:v>
                </c:pt>
                <c:pt idx="29">
                  <c:v>12356</c:v>
                </c:pt>
                <c:pt idx="30">
                  <c:v>12430</c:v>
                </c:pt>
                <c:pt idx="31">
                  <c:v>12586</c:v>
                </c:pt>
                <c:pt idx="32">
                  <c:v>12892.5</c:v>
                </c:pt>
                <c:pt idx="33">
                  <c:v>13312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-2.3598591463500684E-2</c:v>
                </c:pt>
                <c:pt idx="1">
                  <c:v>-2.3417734280449656E-2</c:v>
                </c:pt>
                <c:pt idx="2">
                  <c:v>-2.2820905576381265E-2</c:v>
                </c:pt>
                <c:pt idx="3">
                  <c:v>-1.8504447474230079E-2</c:v>
                </c:pt>
                <c:pt idx="4">
                  <c:v>-1.8432104601009667E-2</c:v>
                </c:pt>
                <c:pt idx="5">
                  <c:v>-1.547810394450955E-2</c:v>
                </c:pt>
                <c:pt idx="6">
                  <c:v>-1.3964932179649288E-2</c:v>
                </c:pt>
                <c:pt idx="7">
                  <c:v>-1.3223417729140076E-2</c:v>
                </c:pt>
                <c:pt idx="8">
                  <c:v>-1.0607017147668546E-2</c:v>
                </c:pt>
                <c:pt idx="9">
                  <c:v>-1.0607017147668546E-2</c:v>
                </c:pt>
                <c:pt idx="10">
                  <c:v>-1.0600988574900178E-2</c:v>
                </c:pt>
                <c:pt idx="11">
                  <c:v>-1.045027425569099E-2</c:v>
                </c:pt>
                <c:pt idx="12">
                  <c:v>-1.0414102819080784E-2</c:v>
                </c:pt>
                <c:pt idx="13">
                  <c:v>-1.0341759945860373E-2</c:v>
                </c:pt>
                <c:pt idx="14">
                  <c:v>-1.0160902762809345E-2</c:v>
                </c:pt>
                <c:pt idx="15">
                  <c:v>-9.7871312511705558E-3</c:v>
                </c:pt>
                <c:pt idx="16">
                  <c:v>-7.870045110829664E-3</c:v>
                </c:pt>
                <c:pt idx="17">
                  <c:v>-7.8338736742194597E-3</c:v>
                </c:pt>
                <c:pt idx="18">
                  <c:v>-5.543016022239779E-3</c:v>
                </c:pt>
                <c:pt idx="19">
                  <c:v>-5.1330730739907833E-3</c:v>
                </c:pt>
                <c:pt idx="20">
                  <c:v>-5.0607302007703719E-3</c:v>
                </c:pt>
                <c:pt idx="21">
                  <c:v>-4.614615815911171E-3</c:v>
                </c:pt>
                <c:pt idx="22">
                  <c:v>5.3566435429688065E-3</c:v>
                </c:pt>
                <c:pt idx="23">
                  <c:v>5.5736721626300396E-3</c:v>
                </c:pt>
                <c:pt idx="24">
                  <c:v>9.4169577566560012E-2</c:v>
                </c:pt>
                <c:pt idx="25">
                  <c:v>0.10170529352701949</c:v>
                </c:pt>
                <c:pt idx="26">
                  <c:v>0.12671784194297658</c:v>
                </c:pt>
                <c:pt idx="27">
                  <c:v>0.12781504218681947</c:v>
                </c:pt>
                <c:pt idx="28">
                  <c:v>0.13409681501145848</c:v>
                </c:pt>
                <c:pt idx="29">
                  <c:v>0.13856398743281886</c:v>
                </c:pt>
                <c:pt idx="30">
                  <c:v>0.13945621620253726</c:v>
                </c:pt>
                <c:pt idx="31">
                  <c:v>0.14133713090626795</c:v>
                </c:pt>
                <c:pt idx="32">
                  <c:v>0.14503264601327728</c:v>
                </c:pt>
                <c:pt idx="33">
                  <c:v>0.15009061856593769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2B-418A-81CB-F4FB8DA6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96136"/>
        <c:axId val="1"/>
      </c:scatterChart>
      <c:valAx>
        <c:axId val="77329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29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7BDF65-6F64-65E9-38A4-AE9094362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24</v>
      </c>
      <c r="B2" t="s">
        <v>31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34627.339</v>
      </c>
      <c r="D4" s="9">
        <v>1.6735251</v>
      </c>
    </row>
    <row r="5" spans="1:6" ht="13.5" thickTop="1" x14ac:dyDescent="0.2">
      <c r="A5" s="15" t="s">
        <v>32</v>
      </c>
      <c r="B5" s="16"/>
      <c r="C5" s="17">
        <v>-9.5</v>
      </c>
      <c r="D5" s="16" t="s">
        <v>33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34627.339</v>
      </c>
    </row>
    <row r="8" spans="1:6" x14ac:dyDescent="0.2">
      <c r="A8" t="s">
        <v>3</v>
      </c>
      <c r="C8">
        <f>+D4</f>
        <v>1.6735251</v>
      </c>
    </row>
    <row r="9" spans="1:6" x14ac:dyDescent="0.2">
      <c r="A9" s="30" t="s">
        <v>40</v>
      </c>
      <c r="B9" s="31">
        <v>21</v>
      </c>
      <c r="C9" s="28" t="str">
        <f>"F"&amp;B9</f>
        <v>F21</v>
      </c>
      <c r="D9" s="29" t="str">
        <f>"G"&amp;B9</f>
        <v>G21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27">
        <f ca="1">INTERCEPT(INDIRECT($D$9):G992,INDIRECT($C$9):F992)</f>
        <v>-1.0414102819080784E-2</v>
      </c>
      <c r="D11" s="3"/>
      <c r="E11" s="16"/>
    </row>
    <row r="12" spans="1:6" x14ac:dyDescent="0.2">
      <c r="A12" s="16" t="s">
        <v>17</v>
      </c>
      <c r="B12" s="16"/>
      <c r="C12" s="27">
        <f ca="1">SLOPE(INDIRECT($D$9):G992,INDIRECT($C$9):F992)</f>
        <v>1.2057145536735161E-5</v>
      </c>
      <c r="D12" s="3"/>
      <c r="E12" s="16"/>
    </row>
    <row r="13" spans="1:6" x14ac:dyDescent="0.2">
      <c r="A13" s="16" t="s">
        <v>19</v>
      </c>
      <c r="B13" s="16"/>
      <c r="C13" s="3" t="s">
        <v>14</v>
      </c>
    </row>
    <row r="14" spans="1:6" x14ac:dyDescent="0.2">
      <c r="A14" s="16"/>
      <c r="B14" s="16"/>
      <c r="C14" s="16"/>
    </row>
    <row r="15" spans="1:6" x14ac:dyDescent="0.2">
      <c r="A15" s="18" t="s">
        <v>18</v>
      </c>
      <c r="B15" s="16"/>
      <c r="C15" s="19">
        <f ca="1">(C7+C11)+(C8+C12)*INT(MAX(F21:F3533))</f>
        <v>56905.455221818564</v>
      </c>
      <c r="E15" s="20" t="s">
        <v>38</v>
      </c>
      <c r="F15" s="17">
        <v>1</v>
      </c>
    </row>
    <row r="16" spans="1:6" x14ac:dyDescent="0.2">
      <c r="A16" s="22" t="s">
        <v>4</v>
      </c>
      <c r="B16" s="16"/>
      <c r="C16" s="23">
        <f ca="1">+C8+C12</f>
        <v>1.6735371571455366</v>
      </c>
      <c r="E16" s="20" t="s">
        <v>34</v>
      </c>
      <c r="F16" s="21">
        <f ca="1">NOW()+15018.5+$C$5/24</f>
        <v>60342.724994675926</v>
      </c>
    </row>
    <row r="17" spans="1:17" ht="13.5" thickBot="1" x14ac:dyDescent="0.25">
      <c r="A17" s="20" t="s">
        <v>28</v>
      </c>
      <c r="B17" s="16"/>
      <c r="C17" s="16">
        <f>COUNT(C21:C2191)</f>
        <v>34</v>
      </c>
      <c r="E17" s="20" t="s">
        <v>39</v>
      </c>
      <c r="F17" s="21">
        <f ca="1">ROUND(2*(F16-$C$7)/$C$8,0)/2+F15</f>
        <v>15367</v>
      </c>
    </row>
    <row r="18" spans="1:17" ht="14.25" thickTop="1" thickBot="1" x14ac:dyDescent="0.25">
      <c r="A18" s="22" t="s">
        <v>5</v>
      </c>
      <c r="B18" s="16"/>
      <c r="C18" s="25">
        <f ca="1">+C15</f>
        <v>56905.455221818564</v>
      </c>
      <c r="D18" s="26">
        <f ca="1">+C16</f>
        <v>1.6735371571455366</v>
      </c>
      <c r="E18" s="20" t="s">
        <v>35</v>
      </c>
      <c r="F18" s="29">
        <f ca="1">ROUND(2*(F16-$C$15)/$C$16,0)/2+F15</f>
        <v>2055</v>
      </c>
    </row>
    <row r="19" spans="1:17" ht="13.5" thickTop="1" x14ac:dyDescent="0.2">
      <c r="E19" s="20" t="s">
        <v>36</v>
      </c>
      <c r="F19" s="24">
        <f ca="1">+$C$15+$C$16*F18-15018.5-$C$5/24</f>
        <v>45326.469913085974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1" t="s">
        <v>65</v>
      </c>
      <c r="B21" s="52" t="s">
        <v>30</v>
      </c>
      <c r="C21" s="51">
        <v>32797.381999999998</v>
      </c>
      <c r="D21" s="51" t="s">
        <v>58</v>
      </c>
      <c r="E21">
        <f t="shared" ref="E21:E54" si="0">+(C21-C$7)/C$8</f>
        <v>-1093.474486878029</v>
      </c>
      <c r="F21">
        <f t="shared" ref="F21:F54" si="1">ROUND(2*E21,0)/2</f>
        <v>-1093.5</v>
      </c>
      <c r="G21">
        <f t="shared" ref="G21:G54" si="2">+C21-(C$7+F21*C$8)</f>
        <v>4.2696849995991215E-2</v>
      </c>
      <c r="I21">
        <f t="shared" ref="I21:I29" si="3">+G21</f>
        <v>4.2696849995991215E-2</v>
      </c>
      <c r="O21">
        <f t="shared" ref="O21:O54" ca="1" si="4">+C$11+C$12*$F21</f>
        <v>-2.3598591463500684E-2</v>
      </c>
      <c r="Q21" s="2">
        <f t="shared" ref="Q21:Q54" si="5">+C21-15018.5</f>
        <v>17778.881999999998</v>
      </c>
    </row>
    <row r="22" spans="1:17" x14ac:dyDescent="0.2">
      <c r="A22" s="51" t="s">
        <v>65</v>
      </c>
      <c r="B22" s="52" t="s">
        <v>30</v>
      </c>
      <c r="C22" s="51">
        <v>32822.428</v>
      </c>
      <c r="D22" s="51" t="s">
        <v>58</v>
      </c>
      <c r="E22">
        <f t="shared" si="0"/>
        <v>-1078.5084729234118</v>
      </c>
      <c r="F22">
        <f t="shared" si="1"/>
        <v>-1078.5</v>
      </c>
      <c r="G22">
        <f t="shared" si="2"/>
        <v>-1.4179650002915878E-2</v>
      </c>
      <c r="I22">
        <f t="shared" si="3"/>
        <v>-1.4179650002915878E-2</v>
      </c>
      <c r="O22">
        <f t="shared" ca="1" si="4"/>
        <v>-2.3417734280449656E-2</v>
      </c>
      <c r="Q22" s="2">
        <f t="shared" si="5"/>
        <v>17803.928</v>
      </c>
    </row>
    <row r="23" spans="1:17" x14ac:dyDescent="0.2">
      <c r="A23" s="51" t="s">
        <v>65</v>
      </c>
      <c r="B23" s="52" t="s">
        <v>42</v>
      </c>
      <c r="C23" s="51">
        <v>32905.269</v>
      </c>
      <c r="D23" s="51" t="s">
        <v>58</v>
      </c>
      <c r="E23">
        <f t="shared" si="0"/>
        <v>-1029.0075721003525</v>
      </c>
      <c r="F23">
        <f t="shared" si="1"/>
        <v>-1029</v>
      </c>
      <c r="G23">
        <f t="shared" si="2"/>
        <v>-1.2672099997871555E-2</v>
      </c>
      <c r="I23">
        <f t="shared" si="3"/>
        <v>-1.2672099997871555E-2</v>
      </c>
      <c r="O23">
        <f t="shared" ca="1" si="4"/>
        <v>-2.2820905576381265E-2</v>
      </c>
      <c r="Q23" s="2">
        <f t="shared" si="5"/>
        <v>17886.769</v>
      </c>
    </row>
    <row r="24" spans="1:17" x14ac:dyDescent="0.2">
      <c r="A24" s="51" t="s">
        <v>65</v>
      </c>
      <c r="B24" s="52" t="s">
        <v>42</v>
      </c>
      <c r="C24" s="51">
        <v>33504.404000000002</v>
      </c>
      <c r="D24" s="51" t="s">
        <v>58</v>
      </c>
      <c r="E24">
        <f t="shared" si="0"/>
        <v>-670.99979558119423</v>
      </c>
      <c r="F24">
        <f t="shared" si="1"/>
        <v>-671</v>
      </c>
      <c r="G24">
        <f t="shared" si="2"/>
        <v>3.4210000012535602E-4</v>
      </c>
      <c r="I24">
        <f t="shared" si="3"/>
        <v>3.4210000012535602E-4</v>
      </c>
      <c r="O24">
        <f t="shared" ca="1" si="4"/>
        <v>-1.8504447474230079E-2</v>
      </c>
      <c r="Q24" s="2">
        <f t="shared" si="5"/>
        <v>18485.904000000002</v>
      </c>
    </row>
    <row r="25" spans="1:17" x14ac:dyDescent="0.2">
      <c r="A25" s="51" t="s">
        <v>65</v>
      </c>
      <c r="B25" s="52" t="s">
        <v>42</v>
      </c>
      <c r="C25" s="51">
        <v>33514.436000000002</v>
      </c>
      <c r="D25" s="51" t="s">
        <v>58</v>
      </c>
      <c r="E25">
        <f t="shared" si="0"/>
        <v>-665.00526344062507</v>
      </c>
      <c r="F25">
        <f t="shared" si="1"/>
        <v>-665</v>
      </c>
      <c r="G25">
        <f t="shared" si="2"/>
        <v>-8.808499995211605E-3</v>
      </c>
      <c r="I25">
        <f t="shared" si="3"/>
        <v>-8.808499995211605E-3</v>
      </c>
      <c r="O25">
        <f t="shared" ca="1" si="4"/>
        <v>-1.8432104601009667E-2</v>
      </c>
      <c r="Q25" s="2">
        <f t="shared" si="5"/>
        <v>18495.936000000002</v>
      </c>
    </row>
    <row r="26" spans="1:17" x14ac:dyDescent="0.2">
      <c r="A26" s="51" t="s">
        <v>65</v>
      </c>
      <c r="B26" s="52" t="s">
        <v>42</v>
      </c>
      <c r="C26" s="51">
        <v>33924.402999999998</v>
      </c>
      <c r="D26" s="51" t="s">
        <v>58</v>
      </c>
      <c r="E26">
        <f t="shared" si="0"/>
        <v>-420.03313843335934</v>
      </c>
      <c r="F26">
        <f t="shared" si="1"/>
        <v>-420</v>
      </c>
      <c r="G26">
        <f t="shared" si="2"/>
        <v>-5.5458000002545305E-2</v>
      </c>
      <c r="I26">
        <f t="shared" si="3"/>
        <v>-5.5458000002545305E-2</v>
      </c>
      <c r="O26">
        <f t="shared" ca="1" si="4"/>
        <v>-1.547810394450955E-2</v>
      </c>
      <c r="Q26" s="2">
        <f t="shared" si="5"/>
        <v>18905.902999999998</v>
      </c>
    </row>
    <row r="27" spans="1:17" x14ac:dyDescent="0.2">
      <c r="A27" s="51" t="s">
        <v>65</v>
      </c>
      <c r="B27" s="52" t="s">
        <v>30</v>
      </c>
      <c r="C27" s="51">
        <v>34134.472999999998</v>
      </c>
      <c r="D27" s="51" t="s">
        <v>58</v>
      </c>
      <c r="E27">
        <f t="shared" si="0"/>
        <v>-294.50768321311813</v>
      </c>
      <c r="F27">
        <f t="shared" si="1"/>
        <v>-294.5</v>
      </c>
      <c r="G27">
        <f t="shared" si="2"/>
        <v>-1.285805000225082E-2</v>
      </c>
      <c r="I27">
        <f t="shared" si="3"/>
        <v>-1.285805000225082E-2</v>
      </c>
      <c r="O27">
        <f t="shared" ca="1" si="4"/>
        <v>-1.3964932179649288E-2</v>
      </c>
      <c r="Q27" s="2">
        <f t="shared" si="5"/>
        <v>19115.972999999998</v>
      </c>
    </row>
    <row r="28" spans="1:17" x14ac:dyDescent="0.2">
      <c r="A28" s="51" t="s">
        <v>65</v>
      </c>
      <c r="B28" s="52" t="s">
        <v>42</v>
      </c>
      <c r="C28" s="51">
        <v>34237.391000000003</v>
      </c>
      <c r="D28" s="51" t="s">
        <v>58</v>
      </c>
      <c r="E28">
        <f t="shared" si="0"/>
        <v>-233.00995007484303</v>
      </c>
      <c r="F28">
        <f t="shared" si="1"/>
        <v>-233</v>
      </c>
      <c r="G28">
        <f t="shared" si="2"/>
        <v>-1.6651699996145908E-2</v>
      </c>
      <c r="I28">
        <f t="shared" si="3"/>
        <v>-1.6651699996145908E-2</v>
      </c>
      <c r="O28">
        <f t="shared" ca="1" si="4"/>
        <v>-1.3223417729140076E-2</v>
      </c>
      <c r="Q28" s="2">
        <f t="shared" si="5"/>
        <v>19218.891000000003</v>
      </c>
    </row>
    <row r="29" spans="1:17" x14ac:dyDescent="0.2">
      <c r="A29" s="51" t="s">
        <v>65</v>
      </c>
      <c r="B29" s="52" t="s">
        <v>42</v>
      </c>
      <c r="C29" s="51">
        <v>34600.47</v>
      </c>
      <c r="D29" s="51" t="s">
        <v>58</v>
      </c>
      <c r="E29">
        <f t="shared" si="0"/>
        <v>-16.055331348181618</v>
      </c>
      <c r="F29">
        <f t="shared" si="1"/>
        <v>-16</v>
      </c>
      <c r="G29">
        <f t="shared" si="2"/>
        <v>-9.259839999867836E-2</v>
      </c>
      <c r="I29">
        <f t="shared" si="3"/>
        <v>-9.259839999867836E-2</v>
      </c>
      <c r="O29">
        <f t="shared" ca="1" si="4"/>
        <v>-1.0607017147668546E-2</v>
      </c>
      <c r="Q29" s="2">
        <f t="shared" si="5"/>
        <v>19581.97</v>
      </c>
    </row>
    <row r="30" spans="1:17" x14ac:dyDescent="0.2">
      <c r="A30" t="s">
        <v>12</v>
      </c>
      <c r="C30" s="14">
        <v>34600.47</v>
      </c>
      <c r="D30" s="14" t="s">
        <v>14</v>
      </c>
      <c r="E30">
        <f t="shared" si="0"/>
        <v>-16.055331348181618</v>
      </c>
      <c r="F30">
        <f t="shared" si="1"/>
        <v>-16</v>
      </c>
      <c r="G30">
        <f t="shared" si="2"/>
        <v>-9.259839999867836E-2</v>
      </c>
      <c r="H30">
        <f>+G30</f>
        <v>-9.259839999867836E-2</v>
      </c>
      <c r="O30">
        <f t="shared" ca="1" si="4"/>
        <v>-1.0607017147668546E-2</v>
      </c>
      <c r="Q30" s="2">
        <f t="shared" si="5"/>
        <v>19581.97</v>
      </c>
    </row>
    <row r="31" spans="1:17" x14ac:dyDescent="0.2">
      <c r="A31" s="51" t="s">
        <v>65</v>
      </c>
      <c r="B31" s="52" t="s">
        <v>30</v>
      </c>
      <c r="C31" s="51">
        <v>34601.375</v>
      </c>
      <c r="D31" s="51" t="s">
        <v>58</v>
      </c>
      <c r="E31">
        <f t="shared" si="0"/>
        <v>-15.514556668435951</v>
      </c>
      <c r="F31">
        <f t="shared" si="1"/>
        <v>-15.5</v>
      </c>
      <c r="G31">
        <f t="shared" si="2"/>
        <v>-2.4360950003028847E-2</v>
      </c>
      <c r="I31">
        <f t="shared" ref="I31:I44" si="6">+G31</f>
        <v>-2.4360950003028847E-2</v>
      </c>
      <c r="O31">
        <f t="shared" ca="1" si="4"/>
        <v>-1.0600988574900178E-2</v>
      </c>
      <c r="Q31" s="2">
        <f t="shared" si="5"/>
        <v>19582.875</v>
      </c>
    </row>
    <row r="32" spans="1:17" x14ac:dyDescent="0.2">
      <c r="A32" s="51" t="s">
        <v>65</v>
      </c>
      <c r="B32" s="52" t="s">
        <v>42</v>
      </c>
      <c r="C32" s="51">
        <v>34622.337</v>
      </c>
      <c r="D32" s="51" t="s">
        <v>58</v>
      </c>
      <c r="E32">
        <f t="shared" si="0"/>
        <v>-2.9889004951287599</v>
      </c>
      <c r="F32">
        <f t="shared" si="1"/>
        <v>-3</v>
      </c>
      <c r="G32">
        <f t="shared" si="2"/>
        <v>1.8575299996882677E-2</v>
      </c>
      <c r="I32">
        <f t="shared" si="6"/>
        <v>1.8575299996882677E-2</v>
      </c>
      <c r="O32">
        <f t="shared" ca="1" si="4"/>
        <v>-1.045027425569099E-2</v>
      </c>
      <c r="Q32" s="2">
        <f t="shared" si="5"/>
        <v>19603.837</v>
      </c>
    </row>
    <row r="33" spans="1:17" x14ac:dyDescent="0.2">
      <c r="A33" s="51" t="s">
        <v>65</v>
      </c>
      <c r="B33" s="52" t="s">
        <v>42</v>
      </c>
      <c r="C33" s="51">
        <v>34627.345000000001</v>
      </c>
      <c r="D33" s="51" t="s">
        <v>58</v>
      </c>
      <c r="E33">
        <f t="shared" si="0"/>
        <v>3.5852464962864081E-3</v>
      </c>
      <c r="F33">
        <f t="shared" si="1"/>
        <v>0</v>
      </c>
      <c r="G33">
        <f t="shared" si="2"/>
        <v>6.0000000012223609E-3</v>
      </c>
      <c r="I33">
        <f t="shared" si="6"/>
        <v>6.0000000012223609E-3</v>
      </c>
      <c r="O33">
        <f t="shared" ca="1" si="4"/>
        <v>-1.0414102819080784E-2</v>
      </c>
      <c r="Q33" s="2">
        <f t="shared" si="5"/>
        <v>19608.845000000001</v>
      </c>
    </row>
    <row r="34" spans="1:17" x14ac:dyDescent="0.2">
      <c r="A34" s="51" t="s">
        <v>65</v>
      </c>
      <c r="B34" s="52" t="s">
        <v>42</v>
      </c>
      <c r="C34" s="51">
        <v>34637.43</v>
      </c>
      <c r="D34" s="51" t="s">
        <v>58</v>
      </c>
      <c r="E34">
        <f t="shared" si="0"/>
        <v>6.0297870644428038</v>
      </c>
      <c r="F34">
        <f t="shared" si="1"/>
        <v>6</v>
      </c>
      <c r="G34">
        <f t="shared" si="2"/>
        <v>4.9849399998493027E-2</v>
      </c>
      <c r="I34">
        <f t="shared" si="6"/>
        <v>4.9849399998493027E-2</v>
      </c>
      <c r="O34">
        <f t="shared" ca="1" si="4"/>
        <v>-1.0341759945860373E-2</v>
      </c>
      <c r="Q34" s="2">
        <f t="shared" si="5"/>
        <v>19618.93</v>
      </c>
    </row>
    <row r="35" spans="1:17" x14ac:dyDescent="0.2">
      <c r="A35" s="51" t="s">
        <v>65</v>
      </c>
      <c r="B35" s="52" t="s">
        <v>42</v>
      </c>
      <c r="C35" s="51">
        <v>34662.449999999997</v>
      </c>
      <c r="D35" s="51" t="s">
        <v>58</v>
      </c>
      <c r="E35">
        <f t="shared" si="0"/>
        <v>20.980264950909401</v>
      </c>
      <c r="F35">
        <f t="shared" si="1"/>
        <v>21</v>
      </c>
      <c r="G35">
        <f t="shared" si="2"/>
        <v>-3.3027100005710963E-2</v>
      </c>
      <c r="I35">
        <f t="shared" si="6"/>
        <v>-3.3027100005710963E-2</v>
      </c>
      <c r="O35">
        <f t="shared" ca="1" si="4"/>
        <v>-1.0160902762809345E-2</v>
      </c>
      <c r="Q35" s="2">
        <f t="shared" si="5"/>
        <v>19643.949999999997</v>
      </c>
    </row>
    <row r="36" spans="1:17" x14ac:dyDescent="0.2">
      <c r="A36" s="51" t="s">
        <v>65</v>
      </c>
      <c r="B36" s="52" t="s">
        <v>42</v>
      </c>
      <c r="C36" s="51">
        <v>34714.305</v>
      </c>
      <c r="D36" s="51" t="s">
        <v>58</v>
      </c>
      <c r="E36">
        <f t="shared" si="0"/>
        <v>51.965757788754019</v>
      </c>
      <c r="F36">
        <f t="shared" si="1"/>
        <v>52</v>
      </c>
      <c r="G36">
        <f t="shared" si="2"/>
        <v>-5.7305199996335432E-2</v>
      </c>
      <c r="I36">
        <f t="shared" si="6"/>
        <v>-5.7305199996335432E-2</v>
      </c>
      <c r="O36">
        <f t="shared" ca="1" si="4"/>
        <v>-9.7871312511705558E-3</v>
      </c>
      <c r="Q36" s="2">
        <f t="shared" si="5"/>
        <v>19695.805</v>
      </c>
    </row>
    <row r="37" spans="1:17" x14ac:dyDescent="0.2">
      <c r="A37" s="51" t="s">
        <v>65</v>
      </c>
      <c r="B37" s="52" t="s">
        <v>42</v>
      </c>
      <c r="C37" s="51">
        <v>34980.480000000003</v>
      </c>
      <c r="D37" s="51" t="s">
        <v>58</v>
      </c>
      <c r="E37">
        <f t="shared" si="0"/>
        <v>211.0162554478587</v>
      </c>
      <c r="F37">
        <f t="shared" si="1"/>
        <v>211</v>
      </c>
      <c r="G37">
        <f t="shared" si="2"/>
        <v>2.7203900004678871E-2</v>
      </c>
      <c r="I37">
        <f t="shared" si="6"/>
        <v>2.7203900004678871E-2</v>
      </c>
      <c r="O37">
        <f t="shared" ca="1" si="4"/>
        <v>-7.870045110829664E-3</v>
      </c>
      <c r="Q37" s="2">
        <f t="shared" si="5"/>
        <v>19961.980000000003</v>
      </c>
    </row>
    <row r="38" spans="1:17" x14ac:dyDescent="0.2">
      <c r="A38" s="51" t="s">
        <v>65</v>
      </c>
      <c r="B38" s="52" t="s">
        <v>42</v>
      </c>
      <c r="C38" s="51">
        <v>34985.421999999999</v>
      </c>
      <c r="D38" s="51" t="s">
        <v>58</v>
      </c>
      <c r="E38">
        <f t="shared" si="0"/>
        <v>213.96930347802893</v>
      </c>
      <c r="F38">
        <f t="shared" si="1"/>
        <v>214</v>
      </c>
      <c r="G38">
        <f t="shared" si="2"/>
        <v>-5.1371400004427414E-2</v>
      </c>
      <c r="I38">
        <f t="shared" si="6"/>
        <v>-5.1371400004427414E-2</v>
      </c>
      <c r="O38">
        <f t="shared" ca="1" si="4"/>
        <v>-7.8338736742194597E-3</v>
      </c>
      <c r="Q38" s="2">
        <f t="shared" si="5"/>
        <v>19966.921999999999</v>
      </c>
    </row>
    <row r="39" spans="1:17" x14ac:dyDescent="0.2">
      <c r="A39" s="51" t="s">
        <v>65</v>
      </c>
      <c r="B39" s="52" t="s">
        <v>42</v>
      </c>
      <c r="C39" s="51">
        <v>35303.493000000002</v>
      </c>
      <c r="D39" s="51" t="s">
        <v>58</v>
      </c>
      <c r="E39">
        <f t="shared" si="0"/>
        <v>404.02979315936301</v>
      </c>
      <c r="F39">
        <f t="shared" si="1"/>
        <v>404</v>
      </c>
      <c r="G39">
        <f t="shared" si="2"/>
        <v>4.9859600003401283E-2</v>
      </c>
      <c r="I39">
        <f t="shared" si="6"/>
        <v>4.9859600003401283E-2</v>
      </c>
      <c r="O39">
        <f t="shared" ca="1" si="4"/>
        <v>-5.543016022239779E-3</v>
      </c>
      <c r="Q39" s="2">
        <f t="shared" si="5"/>
        <v>20284.993000000002</v>
      </c>
    </row>
    <row r="40" spans="1:17" x14ac:dyDescent="0.2">
      <c r="A40" s="51" t="s">
        <v>65</v>
      </c>
      <c r="B40" s="52" t="s">
        <v>42</v>
      </c>
      <c r="C40" s="51">
        <v>35360.409</v>
      </c>
      <c r="D40" s="51" t="s">
        <v>58</v>
      </c>
      <c r="E40">
        <f t="shared" si="0"/>
        <v>438.03944141620565</v>
      </c>
      <c r="F40">
        <f t="shared" si="1"/>
        <v>438</v>
      </c>
      <c r="G40">
        <f t="shared" si="2"/>
        <v>6.6006200002448168E-2</v>
      </c>
      <c r="I40">
        <f t="shared" si="6"/>
        <v>6.6006200002448168E-2</v>
      </c>
      <c r="O40">
        <f t="shared" ca="1" si="4"/>
        <v>-5.1330730739907833E-3</v>
      </c>
      <c r="Q40" s="2">
        <f t="shared" si="5"/>
        <v>20341.909</v>
      </c>
    </row>
    <row r="41" spans="1:17" x14ac:dyDescent="0.2">
      <c r="A41" s="51" t="s">
        <v>65</v>
      </c>
      <c r="B41" s="52" t="s">
        <v>42</v>
      </c>
      <c r="C41" s="51">
        <v>35370.345999999998</v>
      </c>
      <c r="D41" s="51" t="s">
        <v>58</v>
      </c>
      <c r="E41">
        <f t="shared" si="0"/>
        <v>443.97720715392785</v>
      </c>
      <c r="F41">
        <f t="shared" si="1"/>
        <v>444</v>
      </c>
      <c r="G41">
        <f t="shared" si="2"/>
        <v>-3.8144400001328904E-2</v>
      </c>
      <c r="I41">
        <f t="shared" si="6"/>
        <v>-3.8144400001328904E-2</v>
      </c>
      <c r="O41">
        <f t="shared" ca="1" si="4"/>
        <v>-5.0607302007703719E-3</v>
      </c>
      <c r="Q41" s="2">
        <f t="shared" si="5"/>
        <v>20351.845999999998</v>
      </c>
    </row>
    <row r="42" spans="1:17" x14ac:dyDescent="0.2">
      <c r="A42" s="51" t="s">
        <v>65</v>
      </c>
      <c r="B42" s="52" t="s">
        <v>42</v>
      </c>
      <c r="C42" s="51">
        <v>35432.311999999998</v>
      </c>
      <c r="D42" s="51" t="s">
        <v>58</v>
      </c>
      <c r="E42">
        <f t="shared" si="0"/>
        <v>481.0044378778652</v>
      </c>
      <c r="F42">
        <f t="shared" si="1"/>
        <v>481</v>
      </c>
      <c r="G42">
        <f t="shared" si="2"/>
        <v>7.426899996062275E-3</v>
      </c>
      <c r="I42">
        <f t="shared" si="6"/>
        <v>7.426899996062275E-3</v>
      </c>
      <c r="O42">
        <f t="shared" ca="1" si="4"/>
        <v>-4.614615815911171E-3</v>
      </c>
      <c r="Q42" s="2">
        <f t="shared" si="5"/>
        <v>20413.811999999998</v>
      </c>
    </row>
    <row r="43" spans="1:17" x14ac:dyDescent="0.2">
      <c r="A43" s="51" t="s">
        <v>65</v>
      </c>
      <c r="B43" s="52" t="s">
        <v>42</v>
      </c>
      <c r="C43" s="51">
        <v>36816.315000000002</v>
      </c>
      <c r="D43" s="51" t="s">
        <v>58</v>
      </c>
      <c r="E43">
        <f t="shared" si="0"/>
        <v>1308.0030888093656</v>
      </c>
      <c r="F43">
        <f t="shared" si="1"/>
        <v>1308</v>
      </c>
      <c r="G43">
        <f t="shared" si="2"/>
        <v>5.1692000051843934E-3</v>
      </c>
      <c r="I43">
        <f t="shared" si="6"/>
        <v>5.1692000051843934E-3</v>
      </c>
      <c r="O43">
        <f t="shared" ca="1" si="4"/>
        <v>5.3566435429688065E-3</v>
      </c>
      <c r="Q43" s="2">
        <f t="shared" si="5"/>
        <v>21797.815000000002</v>
      </c>
    </row>
    <row r="44" spans="1:17" x14ac:dyDescent="0.2">
      <c r="A44" s="51" t="s">
        <v>65</v>
      </c>
      <c r="B44" s="52" t="s">
        <v>42</v>
      </c>
      <c r="C44" s="51">
        <v>36846.404999999999</v>
      </c>
      <c r="D44" s="51" t="s">
        <v>58</v>
      </c>
      <c r="E44">
        <f t="shared" si="0"/>
        <v>1325.9830999845767</v>
      </c>
      <c r="F44">
        <f t="shared" si="1"/>
        <v>1326</v>
      </c>
      <c r="G44">
        <f t="shared" si="2"/>
        <v>-2.8282600003876723E-2</v>
      </c>
      <c r="I44">
        <f t="shared" si="6"/>
        <v>-2.8282600003876723E-2</v>
      </c>
      <c r="O44">
        <f t="shared" ca="1" si="4"/>
        <v>5.5736721626300396E-3</v>
      </c>
      <c r="Q44" s="2">
        <f t="shared" si="5"/>
        <v>21827.904999999999</v>
      </c>
    </row>
    <row r="45" spans="1:17" x14ac:dyDescent="0.2">
      <c r="A45" s="51" t="s">
        <v>136</v>
      </c>
      <c r="B45" s="52" t="s">
        <v>42</v>
      </c>
      <c r="C45" s="51">
        <v>49143.564899999998</v>
      </c>
      <c r="D45" s="51" t="s">
        <v>58</v>
      </c>
      <c r="E45">
        <f t="shared" si="0"/>
        <v>8674.0413394456991</v>
      </c>
      <c r="F45">
        <f t="shared" si="1"/>
        <v>8674</v>
      </c>
      <c r="G45">
        <f t="shared" si="2"/>
        <v>6.9182599996565841E-2</v>
      </c>
      <c r="I45">
        <f>+G45</f>
        <v>6.9182599996565841E-2</v>
      </c>
      <c r="O45">
        <f t="shared" ca="1" si="4"/>
        <v>9.4169577566560012E-2</v>
      </c>
      <c r="Q45" s="2">
        <f t="shared" si="5"/>
        <v>34125.064899999998</v>
      </c>
    </row>
    <row r="46" spans="1:17" x14ac:dyDescent="0.2">
      <c r="A46" s="10" t="s">
        <v>29</v>
      </c>
      <c r="B46" s="11"/>
      <c r="C46" s="12">
        <v>50189.5694</v>
      </c>
      <c r="D46" s="12">
        <v>1.2999999999999999E-3</v>
      </c>
      <c r="E46">
        <f t="shared" si="0"/>
        <v>9299.0720007725013</v>
      </c>
      <c r="F46">
        <f t="shared" si="1"/>
        <v>9299</v>
      </c>
      <c r="G46">
        <f t="shared" si="2"/>
        <v>0.12049510000360897</v>
      </c>
      <c r="J46">
        <f>+G46</f>
        <v>0.12049510000360897</v>
      </c>
      <c r="O46">
        <f t="shared" ca="1" si="4"/>
        <v>0.10170529352701949</v>
      </c>
      <c r="Q46" s="2">
        <f t="shared" si="5"/>
        <v>35171.0694</v>
      </c>
    </row>
    <row r="47" spans="1:17" x14ac:dyDescent="0.2">
      <c r="A47" s="10" t="s">
        <v>29</v>
      </c>
      <c r="B47" s="13" t="s">
        <v>30</v>
      </c>
      <c r="C47" s="12">
        <v>53661.330099999999</v>
      </c>
      <c r="D47" s="12">
        <v>1.1999999999999999E-3</v>
      </c>
      <c r="E47">
        <f t="shared" si="0"/>
        <v>11373.591647953173</v>
      </c>
      <c r="F47">
        <f t="shared" si="1"/>
        <v>11373.5</v>
      </c>
      <c r="G47">
        <f t="shared" si="2"/>
        <v>0.1533751500028302</v>
      </c>
      <c r="J47">
        <f>+G47</f>
        <v>0.1533751500028302</v>
      </c>
      <c r="O47">
        <f t="shared" ca="1" si="4"/>
        <v>0.12671784194297658</v>
      </c>
      <c r="Q47" s="2">
        <f t="shared" si="5"/>
        <v>38642.830099999999</v>
      </c>
    </row>
    <row r="48" spans="1:17" x14ac:dyDescent="0.2">
      <c r="A48" s="10" t="s">
        <v>37</v>
      </c>
      <c r="B48" s="13" t="s">
        <v>30</v>
      </c>
      <c r="C48" s="12">
        <v>53813.588600000003</v>
      </c>
      <c r="D48" s="12">
        <v>2.2000000000000001E-3</v>
      </c>
      <c r="E48">
        <f t="shared" si="0"/>
        <v>11464.572356877112</v>
      </c>
      <c r="F48">
        <f t="shared" si="1"/>
        <v>11464.5</v>
      </c>
      <c r="G48">
        <f t="shared" si="2"/>
        <v>0.12109105000126874</v>
      </c>
      <c r="J48">
        <f>+G48</f>
        <v>0.12109105000126874</v>
      </c>
      <c r="O48">
        <f t="shared" ca="1" si="4"/>
        <v>0.12781504218681947</v>
      </c>
      <c r="Q48" s="2">
        <f t="shared" si="5"/>
        <v>38795.088600000003</v>
      </c>
    </row>
    <row r="49" spans="1:17" x14ac:dyDescent="0.2">
      <c r="A49" s="51" t="s">
        <v>158</v>
      </c>
      <c r="B49" s="52" t="s">
        <v>30</v>
      </c>
      <c r="C49" s="51">
        <v>54685.518900000003</v>
      </c>
      <c r="D49" s="51" t="s">
        <v>58</v>
      </c>
      <c r="E49">
        <f t="shared" si="0"/>
        <v>11985.58653228446</v>
      </c>
      <c r="F49">
        <f t="shared" si="1"/>
        <v>11985.5</v>
      </c>
      <c r="G49">
        <f t="shared" si="2"/>
        <v>0.14481395000620978</v>
      </c>
      <c r="I49">
        <f>+G49</f>
        <v>0.14481395000620978</v>
      </c>
      <c r="O49">
        <f t="shared" ca="1" si="4"/>
        <v>0.13409681501145848</v>
      </c>
      <c r="Q49" s="2">
        <f t="shared" si="5"/>
        <v>39667.018900000003</v>
      </c>
    </row>
    <row r="50" spans="1:17" x14ac:dyDescent="0.2">
      <c r="A50" s="32" t="s">
        <v>41</v>
      </c>
      <c r="B50" s="33" t="s">
        <v>42</v>
      </c>
      <c r="C50" s="32">
        <v>55305.553800000002</v>
      </c>
      <c r="D50" s="32">
        <v>5.0000000000000001E-4</v>
      </c>
      <c r="E50">
        <f t="shared" si="0"/>
        <v>12356.082857675694</v>
      </c>
      <c r="F50">
        <f t="shared" si="1"/>
        <v>12356</v>
      </c>
      <c r="G50">
        <f t="shared" si="2"/>
        <v>0.13866440000128932</v>
      </c>
      <c r="J50">
        <f>+G50</f>
        <v>0.13866440000128932</v>
      </c>
      <c r="O50">
        <f t="shared" ca="1" si="4"/>
        <v>0.13856398743281886</v>
      </c>
      <c r="Q50" s="2">
        <f t="shared" si="5"/>
        <v>40287.053800000002</v>
      </c>
    </row>
    <row r="51" spans="1:17" x14ac:dyDescent="0.2">
      <c r="A51" s="34" t="s">
        <v>46</v>
      </c>
      <c r="B51" s="34"/>
      <c r="C51" s="35">
        <v>55429.394</v>
      </c>
      <c r="D51" s="35">
        <v>2E-3</v>
      </c>
      <c r="E51">
        <f t="shared" si="0"/>
        <v>12430.082464852185</v>
      </c>
      <c r="F51">
        <f t="shared" si="1"/>
        <v>12430</v>
      </c>
      <c r="G51">
        <f t="shared" si="2"/>
        <v>0.13800700000138022</v>
      </c>
      <c r="J51">
        <f>+G51</f>
        <v>0.13800700000138022</v>
      </c>
      <c r="O51">
        <f t="shared" ca="1" si="4"/>
        <v>0.13945621620253726</v>
      </c>
      <c r="Q51" s="2">
        <f t="shared" si="5"/>
        <v>40410.894</v>
      </c>
    </row>
    <row r="52" spans="1:17" x14ac:dyDescent="0.2">
      <c r="A52" s="32" t="s">
        <v>43</v>
      </c>
      <c r="B52" s="33" t="s">
        <v>42</v>
      </c>
      <c r="C52" s="32">
        <v>55690.460500000001</v>
      </c>
      <c r="D52" s="32">
        <v>4.7999999999999996E-3</v>
      </c>
      <c r="E52">
        <f t="shared" si="0"/>
        <v>12586.080423890864</v>
      </c>
      <c r="F52">
        <f t="shared" si="1"/>
        <v>12586</v>
      </c>
      <c r="G52">
        <f t="shared" si="2"/>
        <v>0.13459139999758918</v>
      </c>
      <c r="J52">
        <f>+G52</f>
        <v>0.13459139999758918</v>
      </c>
      <c r="O52">
        <f t="shared" ca="1" si="4"/>
        <v>0.14133713090626795</v>
      </c>
      <c r="Q52" s="2">
        <f t="shared" si="5"/>
        <v>40671.960500000001</v>
      </c>
    </row>
    <row r="53" spans="1:17" x14ac:dyDescent="0.2">
      <c r="A53" s="10" t="s">
        <v>45</v>
      </c>
      <c r="B53" s="13" t="s">
        <v>30</v>
      </c>
      <c r="C53" s="12">
        <v>56203.401700000002</v>
      </c>
      <c r="D53" s="12">
        <v>9.9000000000000008E-3</v>
      </c>
      <c r="E53">
        <f t="shared" si="0"/>
        <v>12892.583863845246</v>
      </c>
      <c r="F53">
        <f t="shared" si="1"/>
        <v>12892.5</v>
      </c>
      <c r="G53">
        <f t="shared" si="2"/>
        <v>0.14034825000271667</v>
      </c>
      <c r="J53">
        <f>+G53</f>
        <v>0.14034825000271667</v>
      </c>
      <c r="O53">
        <f t="shared" ca="1" si="4"/>
        <v>0.14503264601327728</v>
      </c>
      <c r="Q53" s="2">
        <f t="shared" si="5"/>
        <v>41184.901700000002</v>
      </c>
    </row>
    <row r="54" spans="1:17" x14ac:dyDescent="0.2">
      <c r="A54" s="36" t="s">
        <v>47</v>
      </c>
      <c r="B54" s="37"/>
      <c r="C54" s="36">
        <v>56905.451200000003</v>
      </c>
      <c r="D54" s="36">
        <v>5.4000000000000003E-3</v>
      </c>
      <c r="E54">
        <f t="shared" si="0"/>
        <v>13312.087282108887</v>
      </c>
      <c r="F54">
        <f t="shared" si="1"/>
        <v>13312</v>
      </c>
      <c r="G54">
        <f t="shared" si="2"/>
        <v>0.14606880000064848</v>
      </c>
      <c r="J54">
        <f>+G54</f>
        <v>0.14606880000064848</v>
      </c>
      <c r="O54">
        <f t="shared" ca="1" si="4"/>
        <v>0.15009061856593769</v>
      </c>
      <c r="Q54" s="2">
        <f t="shared" si="5"/>
        <v>41886.951200000003</v>
      </c>
    </row>
    <row r="55" spans="1:17" x14ac:dyDescent="0.2">
      <c r="B55" s="3"/>
    </row>
    <row r="56" spans="1:17" x14ac:dyDescent="0.2">
      <c r="B56" s="3"/>
    </row>
    <row r="57" spans="1:17" x14ac:dyDescent="0.2">
      <c r="B57" s="3"/>
    </row>
    <row r="58" spans="1:17" x14ac:dyDescent="0.2">
      <c r="B58" s="3"/>
    </row>
    <row r="59" spans="1:17" x14ac:dyDescent="0.2">
      <c r="B59" s="3"/>
    </row>
    <row r="60" spans="1:17" x14ac:dyDescent="0.2">
      <c r="B60" s="3"/>
    </row>
    <row r="61" spans="1:17" x14ac:dyDescent="0.2">
      <c r="B61" s="3"/>
    </row>
    <row r="62" spans="1:17" x14ac:dyDescent="0.2">
      <c r="B62" s="3"/>
    </row>
    <row r="63" spans="1:17" x14ac:dyDescent="0.2">
      <c r="B63" s="3"/>
    </row>
    <row r="64" spans="1:17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workbookViewId="0">
      <selection activeCell="A19" sqref="A19:D43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8" t="s">
        <v>48</v>
      </c>
      <c r="I1" s="39" t="s">
        <v>49</v>
      </c>
      <c r="J1" s="40" t="s">
        <v>50</v>
      </c>
    </row>
    <row r="2" spans="1:16" x14ac:dyDescent="0.2">
      <c r="I2" s="41" t="s">
        <v>51</v>
      </c>
      <c r="J2" s="42" t="s">
        <v>52</v>
      </c>
    </row>
    <row r="3" spans="1:16" x14ac:dyDescent="0.2">
      <c r="A3" s="43" t="s">
        <v>53</v>
      </c>
      <c r="I3" s="41" t="s">
        <v>54</v>
      </c>
      <c r="J3" s="42" t="s">
        <v>55</v>
      </c>
    </row>
    <row r="4" spans="1:16" x14ac:dyDescent="0.2">
      <c r="I4" s="41" t="s">
        <v>56</v>
      </c>
      <c r="J4" s="42" t="s">
        <v>55</v>
      </c>
    </row>
    <row r="5" spans="1:16" ht="13.5" thickBot="1" x14ac:dyDescent="0.25">
      <c r="I5" s="44" t="s">
        <v>57</v>
      </c>
      <c r="J5" s="45" t="s">
        <v>58</v>
      </c>
    </row>
    <row r="10" spans="1:16" ht="13.5" thickBot="1" x14ac:dyDescent="0.25"/>
    <row r="11" spans="1:16" ht="12.75" customHeight="1" thickBot="1" x14ac:dyDescent="0.25">
      <c r="A11" s="14" t="str">
        <f t="shared" ref="A11:A43" si="0">P11</f>
        <v>BAVM 178 </v>
      </c>
      <c r="B11" s="3" t="str">
        <f t="shared" ref="B11:B43" si="1">IF(H11=INT(H11),"I","II")</f>
        <v>I</v>
      </c>
      <c r="C11" s="14">
        <f t="shared" ref="C11:C43" si="2">1*G11</f>
        <v>50189.5694</v>
      </c>
      <c r="D11" s="16" t="str">
        <f t="shared" ref="D11:D43" si="3">VLOOKUP(F11,I$1:J$5,2,FALSE)</f>
        <v>vis</v>
      </c>
      <c r="E11" s="46">
        <f>VLOOKUP(C11,Active!C$21:E$973,3,FALSE)</f>
        <v>9299.0720007725013</v>
      </c>
      <c r="F11" s="3" t="s">
        <v>57</v>
      </c>
      <c r="G11" s="16" t="str">
        <f t="shared" ref="G11:G43" si="4">MID(I11,3,LEN(I11)-3)</f>
        <v>50189.5694</v>
      </c>
      <c r="H11" s="14">
        <f t="shared" ref="H11:H43" si="5">1*K11</f>
        <v>9299</v>
      </c>
      <c r="I11" s="47" t="s">
        <v>137</v>
      </c>
      <c r="J11" s="48" t="s">
        <v>138</v>
      </c>
      <c r="K11" s="47">
        <v>9299</v>
      </c>
      <c r="L11" s="47" t="s">
        <v>139</v>
      </c>
      <c r="M11" s="48" t="s">
        <v>140</v>
      </c>
      <c r="N11" s="48" t="s">
        <v>134</v>
      </c>
      <c r="O11" s="49" t="s">
        <v>135</v>
      </c>
      <c r="P11" s="50" t="s">
        <v>141</v>
      </c>
    </row>
    <row r="12" spans="1:16" ht="12.75" customHeight="1" thickBot="1" x14ac:dyDescent="0.25">
      <c r="A12" s="14" t="str">
        <f t="shared" si="0"/>
        <v>BAVM 178 </v>
      </c>
      <c r="B12" s="3" t="str">
        <f t="shared" si="1"/>
        <v>II</v>
      </c>
      <c r="C12" s="14">
        <f t="shared" si="2"/>
        <v>53661.330099999999</v>
      </c>
      <c r="D12" s="16" t="str">
        <f t="shared" si="3"/>
        <v>vis</v>
      </c>
      <c r="E12" s="46">
        <f>VLOOKUP(C12,Active!C$21:E$973,3,FALSE)</f>
        <v>11373.591647953173</v>
      </c>
      <c r="F12" s="3" t="s">
        <v>57</v>
      </c>
      <c r="G12" s="16" t="str">
        <f t="shared" si="4"/>
        <v>53661.3301</v>
      </c>
      <c r="H12" s="14">
        <f t="shared" si="5"/>
        <v>11373.5</v>
      </c>
      <c r="I12" s="47" t="s">
        <v>142</v>
      </c>
      <c r="J12" s="48" t="s">
        <v>143</v>
      </c>
      <c r="K12" s="47">
        <v>11373.5</v>
      </c>
      <c r="L12" s="47" t="s">
        <v>144</v>
      </c>
      <c r="M12" s="48" t="s">
        <v>140</v>
      </c>
      <c r="N12" s="48" t="s">
        <v>145</v>
      </c>
      <c r="O12" s="49" t="s">
        <v>146</v>
      </c>
      <c r="P12" s="50" t="s">
        <v>141</v>
      </c>
    </row>
    <row r="13" spans="1:16" ht="12.75" customHeight="1" thickBot="1" x14ac:dyDescent="0.25">
      <c r="A13" s="14" t="str">
        <f t="shared" si="0"/>
        <v>BAVM 183 </v>
      </c>
      <c r="B13" s="3" t="str">
        <f t="shared" si="1"/>
        <v>II</v>
      </c>
      <c r="C13" s="14">
        <f t="shared" si="2"/>
        <v>53813.588600000003</v>
      </c>
      <c r="D13" s="16" t="str">
        <f t="shared" si="3"/>
        <v>vis</v>
      </c>
      <c r="E13" s="46">
        <f>VLOOKUP(C13,Active!C$21:E$973,3,FALSE)</f>
        <v>11464.572356877112</v>
      </c>
      <c r="F13" s="3" t="s">
        <v>57</v>
      </c>
      <c r="G13" s="16" t="str">
        <f t="shared" si="4"/>
        <v>53813.5886</v>
      </c>
      <c r="H13" s="14">
        <f t="shared" si="5"/>
        <v>11464.5</v>
      </c>
      <c r="I13" s="47" t="s">
        <v>147</v>
      </c>
      <c r="J13" s="48" t="s">
        <v>148</v>
      </c>
      <c r="K13" s="47" t="s">
        <v>149</v>
      </c>
      <c r="L13" s="47" t="s">
        <v>150</v>
      </c>
      <c r="M13" s="48" t="s">
        <v>140</v>
      </c>
      <c r="N13" s="48" t="s">
        <v>134</v>
      </c>
      <c r="O13" s="49" t="s">
        <v>151</v>
      </c>
      <c r="P13" s="50" t="s">
        <v>152</v>
      </c>
    </row>
    <row r="14" spans="1:16" ht="12.75" customHeight="1" thickBot="1" x14ac:dyDescent="0.25">
      <c r="A14" s="14" t="str">
        <f t="shared" si="0"/>
        <v>BAVM 214 </v>
      </c>
      <c r="B14" s="3" t="str">
        <f t="shared" si="1"/>
        <v>I</v>
      </c>
      <c r="C14" s="14">
        <f t="shared" si="2"/>
        <v>55305.553800000002</v>
      </c>
      <c r="D14" s="16" t="str">
        <f t="shared" si="3"/>
        <v>vis</v>
      </c>
      <c r="E14" s="46">
        <f>VLOOKUP(C14,Active!C$21:E$973,3,FALSE)</f>
        <v>12356.082857675694</v>
      </c>
      <c r="F14" s="3" t="s">
        <v>57</v>
      </c>
      <c r="G14" s="16" t="str">
        <f t="shared" si="4"/>
        <v>55305.5538</v>
      </c>
      <c r="H14" s="14">
        <f t="shared" si="5"/>
        <v>12356</v>
      </c>
      <c r="I14" s="47" t="s">
        <v>159</v>
      </c>
      <c r="J14" s="48" t="s">
        <v>160</v>
      </c>
      <c r="K14" s="47" t="s">
        <v>161</v>
      </c>
      <c r="L14" s="47" t="s">
        <v>162</v>
      </c>
      <c r="M14" s="48" t="s">
        <v>140</v>
      </c>
      <c r="N14" s="48" t="s">
        <v>134</v>
      </c>
      <c r="O14" s="49" t="s">
        <v>163</v>
      </c>
      <c r="P14" s="50" t="s">
        <v>164</v>
      </c>
    </row>
    <row r="15" spans="1:16" ht="12.75" customHeight="1" thickBot="1" x14ac:dyDescent="0.25">
      <c r="A15" s="14" t="str">
        <f t="shared" si="0"/>
        <v>BAVM 215 </v>
      </c>
      <c r="B15" s="3" t="str">
        <f t="shared" si="1"/>
        <v>I</v>
      </c>
      <c r="C15" s="14">
        <f t="shared" si="2"/>
        <v>55429.394</v>
      </c>
      <c r="D15" s="16" t="str">
        <f t="shared" si="3"/>
        <v>vis</v>
      </c>
      <c r="E15" s="46">
        <f>VLOOKUP(C15,Active!C$21:E$973,3,FALSE)</f>
        <v>12430.082464852185</v>
      </c>
      <c r="F15" s="3" t="s">
        <v>57</v>
      </c>
      <c r="G15" s="16" t="str">
        <f t="shared" si="4"/>
        <v>55429.3940</v>
      </c>
      <c r="H15" s="14">
        <f t="shared" si="5"/>
        <v>12430</v>
      </c>
      <c r="I15" s="47" t="s">
        <v>165</v>
      </c>
      <c r="J15" s="48" t="s">
        <v>166</v>
      </c>
      <c r="K15" s="47" t="s">
        <v>167</v>
      </c>
      <c r="L15" s="47" t="s">
        <v>168</v>
      </c>
      <c r="M15" s="48" t="s">
        <v>140</v>
      </c>
      <c r="N15" s="48" t="s">
        <v>145</v>
      </c>
      <c r="O15" s="49" t="s">
        <v>157</v>
      </c>
      <c r="P15" s="50" t="s">
        <v>169</v>
      </c>
    </row>
    <row r="16" spans="1:16" ht="12.75" customHeight="1" thickBot="1" x14ac:dyDescent="0.25">
      <c r="A16" s="14" t="str">
        <f t="shared" si="0"/>
        <v>BAVM 220 </v>
      </c>
      <c r="B16" s="3" t="str">
        <f t="shared" si="1"/>
        <v>I</v>
      </c>
      <c r="C16" s="14">
        <f t="shared" si="2"/>
        <v>55690.460500000001</v>
      </c>
      <c r="D16" s="16" t="str">
        <f t="shared" si="3"/>
        <v>vis</v>
      </c>
      <c r="E16" s="46">
        <f>VLOOKUP(C16,Active!C$21:E$973,3,FALSE)</f>
        <v>12586.080423890864</v>
      </c>
      <c r="F16" s="3" t="s">
        <v>57</v>
      </c>
      <c r="G16" s="16" t="str">
        <f t="shared" si="4"/>
        <v>55690.4605</v>
      </c>
      <c r="H16" s="14">
        <f t="shared" si="5"/>
        <v>12586</v>
      </c>
      <c r="I16" s="47" t="s">
        <v>170</v>
      </c>
      <c r="J16" s="48" t="s">
        <v>171</v>
      </c>
      <c r="K16" s="47" t="s">
        <v>172</v>
      </c>
      <c r="L16" s="47" t="s">
        <v>173</v>
      </c>
      <c r="M16" s="48" t="s">
        <v>140</v>
      </c>
      <c r="N16" s="48" t="s">
        <v>145</v>
      </c>
      <c r="O16" s="49" t="s">
        <v>157</v>
      </c>
      <c r="P16" s="50" t="s">
        <v>174</v>
      </c>
    </row>
    <row r="17" spans="1:16" ht="12.75" customHeight="1" thickBot="1" x14ac:dyDescent="0.25">
      <c r="A17" s="14" t="str">
        <f t="shared" si="0"/>
        <v>BAVM 231 </v>
      </c>
      <c r="B17" s="3" t="str">
        <f t="shared" si="1"/>
        <v>II</v>
      </c>
      <c r="C17" s="14">
        <f t="shared" si="2"/>
        <v>56203.401700000002</v>
      </c>
      <c r="D17" s="16" t="str">
        <f t="shared" si="3"/>
        <v>vis</v>
      </c>
      <c r="E17" s="46">
        <f>VLOOKUP(C17,Active!C$21:E$973,3,FALSE)</f>
        <v>12892.583863845246</v>
      </c>
      <c r="F17" s="3" t="s">
        <v>57</v>
      </c>
      <c r="G17" s="16" t="str">
        <f t="shared" si="4"/>
        <v>56203.4017</v>
      </c>
      <c r="H17" s="14">
        <f t="shared" si="5"/>
        <v>12892.5</v>
      </c>
      <c r="I17" s="47" t="s">
        <v>175</v>
      </c>
      <c r="J17" s="48" t="s">
        <v>176</v>
      </c>
      <c r="K17" s="47" t="s">
        <v>177</v>
      </c>
      <c r="L17" s="47" t="s">
        <v>178</v>
      </c>
      <c r="M17" s="48" t="s">
        <v>140</v>
      </c>
      <c r="N17" s="48" t="s">
        <v>145</v>
      </c>
      <c r="O17" s="49" t="s">
        <v>157</v>
      </c>
      <c r="P17" s="50" t="s">
        <v>179</v>
      </c>
    </row>
    <row r="18" spans="1:16" ht="12.75" customHeight="1" thickBot="1" x14ac:dyDescent="0.25">
      <c r="A18" s="14" t="str">
        <f t="shared" si="0"/>
        <v>BAVM 239 </v>
      </c>
      <c r="B18" s="3" t="str">
        <f t="shared" si="1"/>
        <v>I</v>
      </c>
      <c r="C18" s="14">
        <f t="shared" si="2"/>
        <v>56905.451200000003</v>
      </c>
      <c r="D18" s="16" t="str">
        <f t="shared" si="3"/>
        <v>vis</v>
      </c>
      <c r="E18" s="46">
        <f>VLOOKUP(C18,Active!C$21:E$973,3,FALSE)</f>
        <v>13312.087282108887</v>
      </c>
      <c r="F18" s="3" t="s">
        <v>57</v>
      </c>
      <c r="G18" s="16" t="str">
        <f t="shared" si="4"/>
        <v>56905.4512</v>
      </c>
      <c r="H18" s="14">
        <f t="shared" si="5"/>
        <v>13312</v>
      </c>
      <c r="I18" s="47" t="s">
        <v>180</v>
      </c>
      <c r="J18" s="48" t="s">
        <v>181</v>
      </c>
      <c r="K18" s="47" t="s">
        <v>182</v>
      </c>
      <c r="L18" s="47" t="s">
        <v>183</v>
      </c>
      <c r="M18" s="48" t="s">
        <v>140</v>
      </c>
      <c r="N18" s="48" t="s">
        <v>145</v>
      </c>
      <c r="O18" s="49" t="s">
        <v>157</v>
      </c>
      <c r="P18" s="50" t="s">
        <v>184</v>
      </c>
    </row>
    <row r="19" spans="1:16" ht="12.75" customHeight="1" thickBot="1" x14ac:dyDescent="0.25">
      <c r="A19" s="14" t="str">
        <f t="shared" si="0"/>
        <v> AHSB 6.2.143 </v>
      </c>
      <c r="B19" s="3" t="str">
        <f t="shared" si="1"/>
        <v>II</v>
      </c>
      <c r="C19" s="14">
        <f t="shared" si="2"/>
        <v>32797.381999999998</v>
      </c>
      <c r="D19" s="16" t="str">
        <f t="shared" si="3"/>
        <v>vis</v>
      </c>
      <c r="E19" s="46">
        <f>VLOOKUP(C19,Active!C$21:E$973,3,FALSE)</f>
        <v>-1093.474486878029</v>
      </c>
      <c r="F19" s="3" t="s">
        <v>57</v>
      </c>
      <c r="G19" s="16" t="str">
        <f t="shared" si="4"/>
        <v>32797.382</v>
      </c>
      <c r="H19" s="14">
        <f t="shared" si="5"/>
        <v>-1093.5</v>
      </c>
      <c r="I19" s="47" t="s">
        <v>60</v>
      </c>
      <c r="J19" s="48" t="s">
        <v>61</v>
      </c>
      <c r="K19" s="47">
        <v>-1093.5</v>
      </c>
      <c r="L19" s="47" t="s">
        <v>62</v>
      </c>
      <c r="M19" s="48" t="s">
        <v>63</v>
      </c>
      <c r="N19" s="48"/>
      <c r="O19" s="49" t="s">
        <v>64</v>
      </c>
      <c r="P19" s="49" t="s">
        <v>65</v>
      </c>
    </row>
    <row r="20" spans="1:16" ht="12.75" customHeight="1" thickBot="1" x14ac:dyDescent="0.25">
      <c r="A20" s="14" t="str">
        <f t="shared" si="0"/>
        <v> AHSB 6.2.143 </v>
      </c>
      <c r="B20" s="3" t="str">
        <f t="shared" si="1"/>
        <v>II</v>
      </c>
      <c r="C20" s="14">
        <f t="shared" si="2"/>
        <v>32822.428</v>
      </c>
      <c r="D20" s="16" t="str">
        <f t="shared" si="3"/>
        <v>vis</v>
      </c>
      <c r="E20" s="46">
        <f>VLOOKUP(C20,Active!C$21:E$973,3,FALSE)</f>
        <v>-1078.5084729234118</v>
      </c>
      <c r="F20" s="3" t="s">
        <v>57</v>
      </c>
      <c r="G20" s="16" t="str">
        <f t="shared" si="4"/>
        <v>32822.428</v>
      </c>
      <c r="H20" s="14">
        <f t="shared" si="5"/>
        <v>-1078.5</v>
      </c>
      <c r="I20" s="47" t="s">
        <v>66</v>
      </c>
      <c r="J20" s="48" t="s">
        <v>67</v>
      </c>
      <c r="K20" s="47">
        <v>-1078.5</v>
      </c>
      <c r="L20" s="47" t="s">
        <v>68</v>
      </c>
      <c r="M20" s="48" t="s">
        <v>63</v>
      </c>
      <c r="N20" s="48"/>
      <c r="O20" s="49" t="s">
        <v>64</v>
      </c>
      <c r="P20" s="49" t="s">
        <v>65</v>
      </c>
    </row>
    <row r="21" spans="1:16" ht="12.75" customHeight="1" thickBot="1" x14ac:dyDescent="0.25">
      <c r="A21" s="14" t="str">
        <f t="shared" si="0"/>
        <v> AHSB 6.2.143 </v>
      </c>
      <c r="B21" s="3" t="str">
        <f t="shared" si="1"/>
        <v>I</v>
      </c>
      <c r="C21" s="14">
        <f t="shared" si="2"/>
        <v>32905.269</v>
      </c>
      <c r="D21" s="16" t="str">
        <f t="shared" si="3"/>
        <v>vis</v>
      </c>
      <c r="E21" s="46">
        <f>VLOOKUP(C21,Active!C$21:E$973,3,FALSE)</f>
        <v>-1029.0075721003525</v>
      </c>
      <c r="F21" s="3" t="s">
        <v>57</v>
      </c>
      <c r="G21" s="16" t="str">
        <f t="shared" si="4"/>
        <v>32905.269</v>
      </c>
      <c r="H21" s="14">
        <f t="shared" si="5"/>
        <v>-1029</v>
      </c>
      <c r="I21" s="47" t="s">
        <v>69</v>
      </c>
      <c r="J21" s="48" t="s">
        <v>70</v>
      </c>
      <c r="K21" s="47">
        <v>-1029</v>
      </c>
      <c r="L21" s="47" t="s">
        <v>71</v>
      </c>
      <c r="M21" s="48" t="s">
        <v>63</v>
      </c>
      <c r="N21" s="48"/>
      <c r="O21" s="49" t="s">
        <v>64</v>
      </c>
      <c r="P21" s="49" t="s">
        <v>65</v>
      </c>
    </row>
    <row r="22" spans="1:16" ht="12.75" customHeight="1" thickBot="1" x14ac:dyDescent="0.25">
      <c r="A22" s="14" t="str">
        <f t="shared" si="0"/>
        <v> AHSB 6.2.143 </v>
      </c>
      <c r="B22" s="3" t="str">
        <f t="shared" si="1"/>
        <v>I</v>
      </c>
      <c r="C22" s="14">
        <f t="shared" si="2"/>
        <v>33504.404000000002</v>
      </c>
      <c r="D22" s="16" t="str">
        <f t="shared" si="3"/>
        <v>vis</v>
      </c>
      <c r="E22" s="46">
        <f>VLOOKUP(C22,Active!C$21:E$973,3,FALSE)</f>
        <v>-670.99979558119423</v>
      </c>
      <c r="F22" s="3" t="s">
        <v>57</v>
      </c>
      <c r="G22" s="16" t="str">
        <f t="shared" si="4"/>
        <v>33504.404</v>
      </c>
      <c r="H22" s="14">
        <f t="shared" si="5"/>
        <v>-671</v>
      </c>
      <c r="I22" s="47" t="s">
        <v>72</v>
      </c>
      <c r="J22" s="48" t="s">
        <v>73</v>
      </c>
      <c r="K22" s="47">
        <v>-671</v>
      </c>
      <c r="L22" s="47" t="s">
        <v>74</v>
      </c>
      <c r="M22" s="48" t="s">
        <v>59</v>
      </c>
      <c r="N22" s="48"/>
      <c r="O22" s="49" t="s">
        <v>64</v>
      </c>
      <c r="P22" s="49" t="s">
        <v>65</v>
      </c>
    </row>
    <row r="23" spans="1:16" ht="12.75" customHeight="1" thickBot="1" x14ac:dyDescent="0.25">
      <c r="A23" s="14" t="str">
        <f t="shared" si="0"/>
        <v> AHSB 6.2.143 </v>
      </c>
      <c r="B23" s="3" t="str">
        <f t="shared" si="1"/>
        <v>I</v>
      </c>
      <c r="C23" s="14">
        <f t="shared" si="2"/>
        <v>33514.436000000002</v>
      </c>
      <c r="D23" s="16" t="str">
        <f t="shared" si="3"/>
        <v>vis</v>
      </c>
      <c r="E23" s="46">
        <f>VLOOKUP(C23,Active!C$21:E$973,3,FALSE)</f>
        <v>-665.00526344062507</v>
      </c>
      <c r="F23" s="3" t="s">
        <v>57</v>
      </c>
      <c r="G23" s="16" t="str">
        <f t="shared" si="4"/>
        <v>33514.436</v>
      </c>
      <c r="H23" s="14">
        <f t="shared" si="5"/>
        <v>-665</v>
      </c>
      <c r="I23" s="47" t="s">
        <v>75</v>
      </c>
      <c r="J23" s="48" t="s">
        <v>76</v>
      </c>
      <c r="K23" s="47">
        <v>-665</v>
      </c>
      <c r="L23" s="47" t="s">
        <v>77</v>
      </c>
      <c r="M23" s="48" t="s">
        <v>63</v>
      </c>
      <c r="N23" s="48"/>
      <c r="O23" s="49" t="s">
        <v>64</v>
      </c>
      <c r="P23" s="49" t="s">
        <v>65</v>
      </c>
    </row>
    <row r="24" spans="1:16" ht="12.75" customHeight="1" thickBot="1" x14ac:dyDescent="0.25">
      <c r="A24" s="14" t="str">
        <f t="shared" si="0"/>
        <v> AHSB 6.2.143 </v>
      </c>
      <c r="B24" s="3" t="str">
        <f t="shared" si="1"/>
        <v>I</v>
      </c>
      <c r="C24" s="14">
        <f t="shared" si="2"/>
        <v>33924.402999999998</v>
      </c>
      <c r="D24" s="16" t="str">
        <f t="shared" si="3"/>
        <v>vis</v>
      </c>
      <c r="E24" s="46">
        <f>VLOOKUP(C24,Active!C$21:E$973,3,FALSE)</f>
        <v>-420.03313843335934</v>
      </c>
      <c r="F24" s="3" t="s">
        <v>57</v>
      </c>
      <c r="G24" s="16" t="str">
        <f t="shared" si="4"/>
        <v>33924.403</v>
      </c>
      <c r="H24" s="14">
        <f t="shared" si="5"/>
        <v>-420</v>
      </c>
      <c r="I24" s="47" t="s">
        <v>78</v>
      </c>
      <c r="J24" s="48" t="s">
        <v>79</v>
      </c>
      <c r="K24" s="47">
        <v>-420</v>
      </c>
      <c r="L24" s="47" t="s">
        <v>80</v>
      </c>
      <c r="M24" s="48" t="s">
        <v>63</v>
      </c>
      <c r="N24" s="48"/>
      <c r="O24" s="49" t="s">
        <v>64</v>
      </c>
      <c r="P24" s="49" t="s">
        <v>65</v>
      </c>
    </row>
    <row r="25" spans="1:16" ht="12.75" customHeight="1" thickBot="1" x14ac:dyDescent="0.25">
      <c r="A25" s="14" t="str">
        <f t="shared" si="0"/>
        <v> AHSB 6.2.143 </v>
      </c>
      <c r="B25" s="3" t="str">
        <f t="shared" si="1"/>
        <v>II</v>
      </c>
      <c r="C25" s="14">
        <f t="shared" si="2"/>
        <v>34134.472999999998</v>
      </c>
      <c r="D25" s="16" t="str">
        <f t="shared" si="3"/>
        <v>vis</v>
      </c>
      <c r="E25" s="46">
        <f>VLOOKUP(C25,Active!C$21:E$973,3,FALSE)</f>
        <v>-294.50768321311813</v>
      </c>
      <c r="F25" s="3" t="s">
        <v>57</v>
      </c>
      <c r="G25" s="16" t="str">
        <f t="shared" si="4"/>
        <v>34134.473</v>
      </c>
      <c r="H25" s="14">
        <f t="shared" si="5"/>
        <v>-294.5</v>
      </c>
      <c r="I25" s="47" t="s">
        <v>81</v>
      </c>
      <c r="J25" s="48" t="s">
        <v>82</v>
      </c>
      <c r="K25" s="47">
        <v>-294.5</v>
      </c>
      <c r="L25" s="47" t="s">
        <v>71</v>
      </c>
      <c r="M25" s="48" t="s">
        <v>63</v>
      </c>
      <c r="N25" s="48"/>
      <c r="O25" s="49" t="s">
        <v>64</v>
      </c>
      <c r="P25" s="49" t="s">
        <v>65</v>
      </c>
    </row>
    <row r="26" spans="1:16" ht="12.75" customHeight="1" thickBot="1" x14ac:dyDescent="0.25">
      <c r="A26" s="14" t="str">
        <f t="shared" si="0"/>
        <v> AHSB 6.2.143 </v>
      </c>
      <c r="B26" s="3" t="str">
        <f t="shared" si="1"/>
        <v>I</v>
      </c>
      <c r="C26" s="14">
        <f t="shared" si="2"/>
        <v>34237.391000000003</v>
      </c>
      <c r="D26" s="16" t="str">
        <f t="shared" si="3"/>
        <v>vis</v>
      </c>
      <c r="E26" s="46">
        <f>VLOOKUP(C26,Active!C$21:E$973,3,FALSE)</f>
        <v>-233.00995007484303</v>
      </c>
      <c r="F26" s="3" t="s">
        <v>57</v>
      </c>
      <c r="G26" s="16" t="str">
        <f t="shared" si="4"/>
        <v>34237.391</v>
      </c>
      <c r="H26" s="14">
        <f t="shared" si="5"/>
        <v>-233</v>
      </c>
      <c r="I26" s="47" t="s">
        <v>83</v>
      </c>
      <c r="J26" s="48" t="s">
        <v>84</v>
      </c>
      <c r="K26" s="47">
        <v>-233</v>
      </c>
      <c r="L26" s="47" t="s">
        <v>85</v>
      </c>
      <c r="M26" s="48" t="s">
        <v>63</v>
      </c>
      <c r="N26" s="48"/>
      <c r="O26" s="49" t="s">
        <v>64</v>
      </c>
      <c r="P26" s="49" t="s">
        <v>65</v>
      </c>
    </row>
    <row r="27" spans="1:16" ht="12.75" customHeight="1" thickBot="1" x14ac:dyDescent="0.25">
      <c r="A27" s="14" t="str">
        <f t="shared" si="0"/>
        <v> AHSB 6.2.143 </v>
      </c>
      <c r="B27" s="3" t="str">
        <f t="shared" si="1"/>
        <v>I</v>
      </c>
      <c r="C27" s="14">
        <f t="shared" si="2"/>
        <v>34600.47</v>
      </c>
      <c r="D27" s="16" t="str">
        <f t="shared" si="3"/>
        <v>vis</v>
      </c>
      <c r="E27" s="46">
        <f>VLOOKUP(C27,Active!C$21:E$973,3,FALSE)</f>
        <v>-16.055331348181618</v>
      </c>
      <c r="F27" s="3" t="s">
        <v>57</v>
      </c>
      <c r="G27" s="16" t="str">
        <f t="shared" si="4"/>
        <v>34600.470</v>
      </c>
      <c r="H27" s="14">
        <f t="shared" si="5"/>
        <v>-16</v>
      </c>
      <c r="I27" s="47" t="s">
        <v>86</v>
      </c>
      <c r="J27" s="48" t="s">
        <v>87</v>
      </c>
      <c r="K27" s="47">
        <v>-16</v>
      </c>
      <c r="L27" s="47" t="s">
        <v>88</v>
      </c>
      <c r="M27" s="48" t="s">
        <v>63</v>
      </c>
      <c r="N27" s="48"/>
      <c r="O27" s="49" t="s">
        <v>64</v>
      </c>
      <c r="P27" s="49" t="s">
        <v>65</v>
      </c>
    </row>
    <row r="28" spans="1:16" ht="12.75" customHeight="1" thickBot="1" x14ac:dyDescent="0.25">
      <c r="A28" s="14" t="str">
        <f t="shared" si="0"/>
        <v> AHSB 6.2.143 </v>
      </c>
      <c r="B28" s="3" t="str">
        <f t="shared" si="1"/>
        <v>II</v>
      </c>
      <c r="C28" s="14">
        <f t="shared" si="2"/>
        <v>34601.375</v>
      </c>
      <c r="D28" s="16" t="str">
        <f t="shared" si="3"/>
        <v>vis</v>
      </c>
      <c r="E28" s="46">
        <f>VLOOKUP(C28,Active!C$21:E$973,3,FALSE)</f>
        <v>-15.514556668435951</v>
      </c>
      <c r="F28" s="3" t="s">
        <v>57</v>
      </c>
      <c r="G28" s="16" t="str">
        <f t="shared" si="4"/>
        <v>34601.375</v>
      </c>
      <c r="H28" s="14">
        <f t="shared" si="5"/>
        <v>-15.5</v>
      </c>
      <c r="I28" s="47" t="s">
        <v>89</v>
      </c>
      <c r="J28" s="48" t="s">
        <v>90</v>
      </c>
      <c r="K28" s="47">
        <v>-15.5</v>
      </c>
      <c r="L28" s="47" t="s">
        <v>91</v>
      </c>
      <c r="M28" s="48" t="s">
        <v>63</v>
      </c>
      <c r="N28" s="48"/>
      <c r="O28" s="49" t="s">
        <v>64</v>
      </c>
      <c r="P28" s="49" t="s">
        <v>65</v>
      </c>
    </row>
    <row r="29" spans="1:16" ht="12.75" customHeight="1" thickBot="1" x14ac:dyDescent="0.25">
      <c r="A29" s="14" t="str">
        <f t="shared" si="0"/>
        <v> AHSB 6.2.143 </v>
      </c>
      <c r="B29" s="3" t="str">
        <f t="shared" si="1"/>
        <v>I</v>
      </c>
      <c r="C29" s="14">
        <f t="shared" si="2"/>
        <v>34622.337</v>
      </c>
      <c r="D29" s="16" t="str">
        <f t="shared" si="3"/>
        <v>vis</v>
      </c>
      <c r="E29" s="46">
        <f>VLOOKUP(C29,Active!C$21:E$973,3,FALSE)</f>
        <v>-2.9889004951287599</v>
      </c>
      <c r="F29" s="3" t="s">
        <v>57</v>
      </c>
      <c r="G29" s="16" t="str">
        <f t="shared" si="4"/>
        <v>34622.337</v>
      </c>
      <c r="H29" s="14">
        <f t="shared" si="5"/>
        <v>-3</v>
      </c>
      <c r="I29" s="47" t="s">
        <v>92</v>
      </c>
      <c r="J29" s="48" t="s">
        <v>93</v>
      </c>
      <c r="K29" s="47">
        <v>-3</v>
      </c>
      <c r="L29" s="47" t="s">
        <v>94</v>
      </c>
      <c r="M29" s="48" t="s">
        <v>63</v>
      </c>
      <c r="N29" s="48"/>
      <c r="O29" s="49" t="s">
        <v>64</v>
      </c>
      <c r="P29" s="49" t="s">
        <v>65</v>
      </c>
    </row>
    <row r="30" spans="1:16" ht="12.75" customHeight="1" thickBot="1" x14ac:dyDescent="0.25">
      <c r="A30" s="14" t="str">
        <f t="shared" si="0"/>
        <v> AHSB 6.2.143 </v>
      </c>
      <c r="B30" s="3" t="str">
        <f t="shared" si="1"/>
        <v>I</v>
      </c>
      <c r="C30" s="14">
        <f t="shared" si="2"/>
        <v>34627.345000000001</v>
      </c>
      <c r="D30" s="16" t="str">
        <f t="shared" si="3"/>
        <v>vis</v>
      </c>
      <c r="E30" s="46">
        <f>VLOOKUP(C30,Active!C$21:E$973,3,FALSE)</f>
        <v>3.5852464962864081E-3</v>
      </c>
      <c r="F30" s="3" t="s">
        <v>57</v>
      </c>
      <c r="G30" s="16" t="str">
        <f t="shared" si="4"/>
        <v>34627.345</v>
      </c>
      <c r="H30" s="14">
        <f t="shared" si="5"/>
        <v>0</v>
      </c>
      <c r="I30" s="47" t="s">
        <v>95</v>
      </c>
      <c r="J30" s="48" t="s">
        <v>96</v>
      </c>
      <c r="K30" s="47">
        <v>0</v>
      </c>
      <c r="L30" s="47" t="s">
        <v>97</v>
      </c>
      <c r="M30" s="48" t="s">
        <v>59</v>
      </c>
      <c r="N30" s="48"/>
      <c r="O30" s="49" t="s">
        <v>64</v>
      </c>
      <c r="P30" s="49" t="s">
        <v>65</v>
      </c>
    </row>
    <row r="31" spans="1:16" ht="12.75" customHeight="1" thickBot="1" x14ac:dyDescent="0.25">
      <c r="A31" s="14" t="str">
        <f t="shared" si="0"/>
        <v> AHSB 6.2.143 </v>
      </c>
      <c r="B31" s="3" t="str">
        <f t="shared" si="1"/>
        <v>I</v>
      </c>
      <c r="C31" s="14">
        <f t="shared" si="2"/>
        <v>34637.43</v>
      </c>
      <c r="D31" s="16" t="str">
        <f t="shared" si="3"/>
        <v>vis</v>
      </c>
      <c r="E31" s="46">
        <f>VLOOKUP(C31,Active!C$21:E$973,3,FALSE)</f>
        <v>6.0297870644428038</v>
      </c>
      <c r="F31" s="3" t="s">
        <v>57</v>
      </c>
      <c r="G31" s="16" t="str">
        <f t="shared" si="4"/>
        <v>34637.430</v>
      </c>
      <c r="H31" s="14">
        <f t="shared" si="5"/>
        <v>6</v>
      </c>
      <c r="I31" s="47" t="s">
        <v>98</v>
      </c>
      <c r="J31" s="48" t="s">
        <v>99</v>
      </c>
      <c r="K31" s="47">
        <v>6</v>
      </c>
      <c r="L31" s="47" t="s">
        <v>100</v>
      </c>
      <c r="M31" s="48" t="s">
        <v>63</v>
      </c>
      <c r="N31" s="48"/>
      <c r="O31" s="49" t="s">
        <v>64</v>
      </c>
      <c r="P31" s="49" t="s">
        <v>65</v>
      </c>
    </row>
    <row r="32" spans="1:16" ht="12.75" customHeight="1" thickBot="1" x14ac:dyDescent="0.25">
      <c r="A32" s="14" t="str">
        <f t="shared" si="0"/>
        <v> AHSB 6.2.143 </v>
      </c>
      <c r="B32" s="3" t="str">
        <f t="shared" si="1"/>
        <v>I</v>
      </c>
      <c r="C32" s="14">
        <f t="shared" si="2"/>
        <v>34662.449999999997</v>
      </c>
      <c r="D32" s="16" t="str">
        <f t="shared" si="3"/>
        <v>vis</v>
      </c>
      <c r="E32" s="46">
        <f>VLOOKUP(C32,Active!C$21:E$973,3,FALSE)</f>
        <v>20.980264950909401</v>
      </c>
      <c r="F32" s="3" t="s">
        <v>57</v>
      </c>
      <c r="G32" s="16" t="str">
        <f t="shared" si="4"/>
        <v>34662.450</v>
      </c>
      <c r="H32" s="14">
        <f t="shared" si="5"/>
        <v>21</v>
      </c>
      <c r="I32" s="47" t="s">
        <v>101</v>
      </c>
      <c r="J32" s="48" t="s">
        <v>102</v>
      </c>
      <c r="K32" s="47">
        <v>21</v>
      </c>
      <c r="L32" s="47" t="s">
        <v>103</v>
      </c>
      <c r="M32" s="48" t="s">
        <v>63</v>
      </c>
      <c r="N32" s="48"/>
      <c r="O32" s="49" t="s">
        <v>64</v>
      </c>
      <c r="P32" s="49" t="s">
        <v>65</v>
      </c>
    </row>
    <row r="33" spans="1:16" ht="12.75" customHeight="1" thickBot="1" x14ac:dyDescent="0.25">
      <c r="A33" s="14" t="str">
        <f t="shared" si="0"/>
        <v> AHSB 6.2.143 </v>
      </c>
      <c r="B33" s="3" t="str">
        <f t="shared" si="1"/>
        <v>I</v>
      </c>
      <c r="C33" s="14">
        <f t="shared" si="2"/>
        <v>34714.305</v>
      </c>
      <c r="D33" s="16" t="str">
        <f t="shared" si="3"/>
        <v>vis</v>
      </c>
      <c r="E33" s="46">
        <f>VLOOKUP(C33,Active!C$21:E$973,3,FALSE)</f>
        <v>51.965757788754019</v>
      </c>
      <c r="F33" s="3" t="s">
        <v>57</v>
      </c>
      <c r="G33" s="16" t="str">
        <f t="shared" si="4"/>
        <v>34714.305</v>
      </c>
      <c r="H33" s="14">
        <f t="shared" si="5"/>
        <v>52</v>
      </c>
      <c r="I33" s="47" t="s">
        <v>104</v>
      </c>
      <c r="J33" s="48" t="s">
        <v>105</v>
      </c>
      <c r="K33" s="47">
        <v>52</v>
      </c>
      <c r="L33" s="47" t="s">
        <v>106</v>
      </c>
      <c r="M33" s="48" t="s">
        <v>63</v>
      </c>
      <c r="N33" s="48"/>
      <c r="O33" s="49" t="s">
        <v>64</v>
      </c>
      <c r="P33" s="49" t="s">
        <v>65</v>
      </c>
    </row>
    <row r="34" spans="1:16" ht="12.75" customHeight="1" thickBot="1" x14ac:dyDescent="0.25">
      <c r="A34" s="14" t="str">
        <f t="shared" si="0"/>
        <v> AHSB 6.2.143 </v>
      </c>
      <c r="B34" s="3" t="str">
        <f t="shared" si="1"/>
        <v>I</v>
      </c>
      <c r="C34" s="14">
        <f t="shared" si="2"/>
        <v>34980.480000000003</v>
      </c>
      <c r="D34" s="16" t="str">
        <f t="shared" si="3"/>
        <v>vis</v>
      </c>
      <c r="E34" s="46">
        <f>VLOOKUP(C34,Active!C$21:E$973,3,FALSE)</f>
        <v>211.0162554478587</v>
      </c>
      <c r="F34" s="3" t="s">
        <v>57</v>
      </c>
      <c r="G34" s="16" t="str">
        <f t="shared" si="4"/>
        <v>34980.480</v>
      </c>
      <c r="H34" s="14">
        <f t="shared" si="5"/>
        <v>211</v>
      </c>
      <c r="I34" s="47" t="s">
        <v>107</v>
      </c>
      <c r="J34" s="48" t="s">
        <v>108</v>
      </c>
      <c r="K34" s="47">
        <v>211</v>
      </c>
      <c r="L34" s="47" t="s">
        <v>109</v>
      </c>
      <c r="M34" s="48" t="s">
        <v>63</v>
      </c>
      <c r="N34" s="48"/>
      <c r="O34" s="49" t="s">
        <v>64</v>
      </c>
      <c r="P34" s="49" t="s">
        <v>65</v>
      </c>
    </row>
    <row r="35" spans="1:16" ht="12.75" customHeight="1" thickBot="1" x14ac:dyDescent="0.25">
      <c r="A35" s="14" t="str">
        <f t="shared" si="0"/>
        <v> AHSB 6.2.143 </v>
      </c>
      <c r="B35" s="3" t="str">
        <f t="shared" si="1"/>
        <v>I</v>
      </c>
      <c r="C35" s="14">
        <f t="shared" si="2"/>
        <v>34985.421999999999</v>
      </c>
      <c r="D35" s="16" t="str">
        <f t="shared" si="3"/>
        <v>vis</v>
      </c>
      <c r="E35" s="46">
        <f>VLOOKUP(C35,Active!C$21:E$973,3,FALSE)</f>
        <v>213.96930347802893</v>
      </c>
      <c r="F35" s="3" t="s">
        <v>57</v>
      </c>
      <c r="G35" s="16" t="str">
        <f t="shared" si="4"/>
        <v>34985.422</v>
      </c>
      <c r="H35" s="14">
        <f t="shared" si="5"/>
        <v>214</v>
      </c>
      <c r="I35" s="47" t="s">
        <v>110</v>
      </c>
      <c r="J35" s="48" t="s">
        <v>111</v>
      </c>
      <c r="K35" s="47">
        <v>214</v>
      </c>
      <c r="L35" s="47" t="s">
        <v>112</v>
      </c>
      <c r="M35" s="48" t="s">
        <v>63</v>
      </c>
      <c r="N35" s="48"/>
      <c r="O35" s="49" t="s">
        <v>64</v>
      </c>
      <c r="P35" s="49" t="s">
        <v>65</v>
      </c>
    </row>
    <row r="36" spans="1:16" ht="12.75" customHeight="1" thickBot="1" x14ac:dyDescent="0.25">
      <c r="A36" s="14" t="str">
        <f t="shared" si="0"/>
        <v> AHSB 6.2.143 </v>
      </c>
      <c r="B36" s="3" t="str">
        <f t="shared" si="1"/>
        <v>I</v>
      </c>
      <c r="C36" s="14">
        <f t="shared" si="2"/>
        <v>35303.493000000002</v>
      </c>
      <c r="D36" s="16" t="str">
        <f t="shared" si="3"/>
        <v>vis</v>
      </c>
      <c r="E36" s="46">
        <f>VLOOKUP(C36,Active!C$21:E$973,3,FALSE)</f>
        <v>404.02979315936301</v>
      </c>
      <c r="F36" s="3" t="s">
        <v>57</v>
      </c>
      <c r="G36" s="16" t="str">
        <f t="shared" si="4"/>
        <v>35303.493</v>
      </c>
      <c r="H36" s="14">
        <f t="shared" si="5"/>
        <v>404</v>
      </c>
      <c r="I36" s="47" t="s">
        <v>113</v>
      </c>
      <c r="J36" s="48" t="s">
        <v>114</v>
      </c>
      <c r="K36" s="47">
        <v>404</v>
      </c>
      <c r="L36" s="47" t="s">
        <v>100</v>
      </c>
      <c r="M36" s="48" t="s">
        <v>63</v>
      </c>
      <c r="N36" s="48"/>
      <c r="O36" s="49" t="s">
        <v>64</v>
      </c>
      <c r="P36" s="49" t="s">
        <v>65</v>
      </c>
    </row>
    <row r="37" spans="1:16" ht="12.75" customHeight="1" thickBot="1" x14ac:dyDescent="0.25">
      <c r="A37" s="14" t="str">
        <f t="shared" si="0"/>
        <v> AHSB 6.2.143 </v>
      </c>
      <c r="B37" s="3" t="str">
        <f t="shared" si="1"/>
        <v>I</v>
      </c>
      <c r="C37" s="14">
        <f t="shared" si="2"/>
        <v>35360.409</v>
      </c>
      <c r="D37" s="16" t="str">
        <f t="shared" si="3"/>
        <v>vis</v>
      </c>
      <c r="E37" s="46">
        <f>VLOOKUP(C37,Active!C$21:E$973,3,FALSE)</f>
        <v>438.03944141620565</v>
      </c>
      <c r="F37" s="3" t="s">
        <v>57</v>
      </c>
      <c r="G37" s="16" t="str">
        <f t="shared" si="4"/>
        <v>35360.409</v>
      </c>
      <c r="H37" s="14">
        <f t="shared" si="5"/>
        <v>438</v>
      </c>
      <c r="I37" s="47" t="s">
        <v>115</v>
      </c>
      <c r="J37" s="48" t="s">
        <v>116</v>
      </c>
      <c r="K37" s="47">
        <v>438</v>
      </c>
      <c r="L37" s="47" t="s">
        <v>117</v>
      </c>
      <c r="M37" s="48" t="s">
        <v>63</v>
      </c>
      <c r="N37" s="48"/>
      <c r="O37" s="49" t="s">
        <v>64</v>
      </c>
      <c r="P37" s="49" t="s">
        <v>65</v>
      </c>
    </row>
    <row r="38" spans="1:16" ht="12.75" customHeight="1" thickBot="1" x14ac:dyDescent="0.25">
      <c r="A38" s="14" t="str">
        <f t="shared" si="0"/>
        <v> AHSB 6.2.143 </v>
      </c>
      <c r="B38" s="3" t="str">
        <f t="shared" si="1"/>
        <v>I</v>
      </c>
      <c r="C38" s="14">
        <f t="shared" si="2"/>
        <v>35370.345999999998</v>
      </c>
      <c r="D38" s="16" t="str">
        <f t="shared" si="3"/>
        <v>vis</v>
      </c>
      <c r="E38" s="46">
        <f>VLOOKUP(C38,Active!C$21:E$973,3,FALSE)</f>
        <v>443.97720715392785</v>
      </c>
      <c r="F38" s="3" t="s">
        <v>57</v>
      </c>
      <c r="G38" s="16" t="str">
        <f t="shared" si="4"/>
        <v>35370.346</v>
      </c>
      <c r="H38" s="14">
        <f t="shared" si="5"/>
        <v>444</v>
      </c>
      <c r="I38" s="47" t="s">
        <v>118</v>
      </c>
      <c r="J38" s="48" t="s">
        <v>119</v>
      </c>
      <c r="K38" s="47">
        <v>444</v>
      </c>
      <c r="L38" s="47" t="s">
        <v>120</v>
      </c>
      <c r="M38" s="48" t="s">
        <v>63</v>
      </c>
      <c r="N38" s="48"/>
      <c r="O38" s="49" t="s">
        <v>64</v>
      </c>
      <c r="P38" s="49" t="s">
        <v>65</v>
      </c>
    </row>
    <row r="39" spans="1:16" ht="12.75" customHeight="1" thickBot="1" x14ac:dyDescent="0.25">
      <c r="A39" s="14" t="str">
        <f t="shared" si="0"/>
        <v> AHSB 6.2.143 </v>
      </c>
      <c r="B39" s="3" t="str">
        <f t="shared" si="1"/>
        <v>I</v>
      </c>
      <c r="C39" s="14">
        <f t="shared" si="2"/>
        <v>35432.311999999998</v>
      </c>
      <c r="D39" s="16" t="str">
        <f t="shared" si="3"/>
        <v>vis</v>
      </c>
      <c r="E39" s="46">
        <f>VLOOKUP(C39,Active!C$21:E$973,3,FALSE)</f>
        <v>481.0044378778652</v>
      </c>
      <c r="F39" s="3" t="s">
        <v>57</v>
      </c>
      <c r="G39" s="16" t="str">
        <f t="shared" si="4"/>
        <v>35432.312</v>
      </c>
      <c r="H39" s="14">
        <f t="shared" si="5"/>
        <v>481</v>
      </c>
      <c r="I39" s="47" t="s">
        <v>121</v>
      </c>
      <c r="J39" s="48" t="s">
        <v>122</v>
      </c>
      <c r="K39" s="47">
        <v>481</v>
      </c>
      <c r="L39" s="47" t="s">
        <v>123</v>
      </c>
      <c r="M39" s="48" t="s">
        <v>63</v>
      </c>
      <c r="N39" s="48"/>
      <c r="O39" s="49" t="s">
        <v>64</v>
      </c>
      <c r="P39" s="49" t="s">
        <v>65</v>
      </c>
    </row>
    <row r="40" spans="1:16" ht="12.75" customHeight="1" thickBot="1" x14ac:dyDescent="0.25">
      <c r="A40" s="14" t="str">
        <f t="shared" si="0"/>
        <v> AHSB 6.2.143 </v>
      </c>
      <c r="B40" s="3" t="str">
        <f t="shared" si="1"/>
        <v>I</v>
      </c>
      <c r="C40" s="14">
        <f t="shared" si="2"/>
        <v>36816.315000000002</v>
      </c>
      <c r="D40" s="16" t="str">
        <f t="shared" si="3"/>
        <v>vis</v>
      </c>
      <c r="E40" s="46">
        <f>VLOOKUP(C40,Active!C$21:E$973,3,FALSE)</f>
        <v>1308.0030888093656</v>
      </c>
      <c r="F40" s="3" t="s">
        <v>57</v>
      </c>
      <c r="G40" s="16" t="str">
        <f t="shared" si="4"/>
        <v>36816.315</v>
      </c>
      <c r="H40" s="14">
        <f t="shared" si="5"/>
        <v>1308</v>
      </c>
      <c r="I40" s="47" t="s">
        <v>124</v>
      </c>
      <c r="J40" s="48" t="s">
        <v>125</v>
      </c>
      <c r="K40" s="47">
        <v>1308</v>
      </c>
      <c r="L40" s="47" t="s">
        <v>126</v>
      </c>
      <c r="M40" s="48" t="s">
        <v>63</v>
      </c>
      <c r="N40" s="48"/>
      <c r="O40" s="49" t="s">
        <v>64</v>
      </c>
      <c r="P40" s="49" t="s">
        <v>65</v>
      </c>
    </row>
    <row r="41" spans="1:16" ht="12.75" customHeight="1" thickBot="1" x14ac:dyDescent="0.25">
      <c r="A41" s="14" t="str">
        <f t="shared" si="0"/>
        <v> AHSB 6.2.143 </v>
      </c>
      <c r="B41" s="3" t="str">
        <f t="shared" si="1"/>
        <v>I</v>
      </c>
      <c r="C41" s="14">
        <f t="shared" si="2"/>
        <v>36846.404999999999</v>
      </c>
      <c r="D41" s="16" t="str">
        <f t="shared" si="3"/>
        <v>vis</v>
      </c>
      <c r="E41" s="46">
        <f>VLOOKUP(C41,Active!C$21:E$973,3,FALSE)</f>
        <v>1325.9830999845767</v>
      </c>
      <c r="F41" s="3" t="s">
        <v>57</v>
      </c>
      <c r="G41" s="16" t="str">
        <f t="shared" si="4"/>
        <v>36846.405</v>
      </c>
      <c r="H41" s="14">
        <f t="shared" si="5"/>
        <v>1326</v>
      </c>
      <c r="I41" s="47" t="s">
        <v>127</v>
      </c>
      <c r="J41" s="48" t="s">
        <v>128</v>
      </c>
      <c r="K41" s="47">
        <v>1326</v>
      </c>
      <c r="L41" s="47" t="s">
        <v>129</v>
      </c>
      <c r="M41" s="48" t="s">
        <v>63</v>
      </c>
      <c r="N41" s="48"/>
      <c r="O41" s="49" t="s">
        <v>64</v>
      </c>
      <c r="P41" s="49" t="s">
        <v>65</v>
      </c>
    </row>
    <row r="42" spans="1:16" ht="12.75" customHeight="1" thickBot="1" x14ac:dyDescent="0.25">
      <c r="A42" s="14" t="str">
        <f t="shared" si="0"/>
        <v>BAVM 68 </v>
      </c>
      <c r="B42" s="3" t="str">
        <f t="shared" si="1"/>
        <v>I</v>
      </c>
      <c r="C42" s="14">
        <f t="shared" si="2"/>
        <v>49143.564899999998</v>
      </c>
      <c r="D42" s="16" t="str">
        <f t="shared" si="3"/>
        <v>vis</v>
      </c>
      <c r="E42" s="46">
        <f>VLOOKUP(C42,Active!C$21:E$973,3,FALSE)</f>
        <v>8674.0413394456991</v>
      </c>
      <c r="F42" s="3" t="s">
        <v>57</v>
      </c>
      <c r="G42" s="16" t="str">
        <f t="shared" si="4"/>
        <v>49143.5649</v>
      </c>
      <c r="H42" s="14">
        <f t="shared" si="5"/>
        <v>8674</v>
      </c>
      <c r="I42" s="47" t="s">
        <v>130</v>
      </c>
      <c r="J42" s="48" t="s">
        <v>131</v>
      </c>
      <c r="K42" s="47">
        <v>8674</v>
      </c>
      <c r="L42" s="47" t="s">
        <v>132</v>
      </c>
      <c r="M42" s="48" t="s">
        <v>133</v>
      </c>
      <c r="N42" s="48" t="s">
        <v>134</v>
      </c>
      <c r="O42" s="49" t="s">
        <v>135</v>
      </c>
      <c r="P42" s="50" t="s">
        <v>136</v>
      </c>
    </row>
    <row r="43" spans="1:16" ht="12.75" customHeight="1" thickBot="1" x14ac:dyDescent="0.25">
      <c r="A43" s="14" t="str">
        <f t="shared" si="0"/>
        <v>BAVM 203 </v>
      </c>
      <c r="B43" s="3" t="str">
        <f t="shared" si="1"/>
        <v>II</v>
      </c>
      <c r="C43" s="14">
        <f t="shared" si="2"/>
        <v>54685.518900000003</v>
      </c>
      <c r="D43" s="16" t="str">
        <f t="shared" si="3"/>
        <v>vis</v>
      </c>
      <c r="E43" s="46">
        <f>VLOOKUP(C43,Active!C$21:E$973,3,FALSE)</f>
        <v>11985.58653228446</v>
      </c>
      <c r="F43" s="3" t="s">
        <v>57</v>
      </c>
      <c r="G43" s="16" t="str">
        <f t="shared" si="4"/>
        <v>54685.5189</v>
      </c>
      <c r="H43" s="14">
        <f t="shared" si="5"/>
        <v>11985.5</v>
      </c>
      <c r="I43" s="47" t="s">
        <v>153</v>
      </c>
      <c r="J43" s="48" t="s">
        <v>154</v>
      </c>
      <c r="K43" s="47" t="s">
        <v>155</v>
      </c>
      <c r="L43" s="47" t="s">
        <v>156</v>
      </c>
      <c r="M43" s="48" t="s">
        <v>140</v>
      </c>
      <c r="N43" s="48" t="s">
        <v>145</v>
      </c>
      <c r="O43" s="49" t="s">
        <v>157</v>
      </c>
      <c r="P43" s="50" t="s">
        <v>158</v>
      </c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</sheetData>
  <phoneticPr fontId="7" type="noConversion"/>
  <hyperlinks>
    <hyperlink ref="P42" r:id="rId1" display="http://www.bav-astro.de/sfs/BAVM_link.php?BAVMnr=68"/>
    <hyperlink ref="P11" r:id="rId2" display="http://www.bav-astro.de/sfs/BAVM_link.php?BAVMnr=178"/>
    <hyperlink ref="P12" r:id="rId3" display="http://www.bav-astro.de/sfs/BAVM_link.php?BAVMnr=178"/>
    <hyperlink ref="P13" r:id="rId4" display="http://www.bav-astro.de/sfs/BAVM_link.php?BAVMnr=183"/>
    <hyperlink ref="P43" r:id="rId5" display="http://www.bav-astro.de/sfs/BAVM_link.php?BAVMnr=203"/>
    <hyperlink ref="P14" r:id="rId6" display="http://www.bav-astro.de/sfs/BAVM_link.php?BAVMnr=214"/>
    <hyperlink ref="P15" r:id="rId7" display="http://www.bav-astro.de/sfs/BAVM_link.php?BAVMnr=215"/>
    <hyperlink ref="P16" r:id="rId8" display="http://www.bav-astro.de/sfs/BAVM_link.php?BAVMnr=220"/>
    <hyperlink ref="P17" r:id="rId9" display="http://www.bav-astro.de/sfs/BAVM_link.php?BAVMnr=231"/>
    <hyperlink ref="P18" r:id="rId1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2024-02-02T04:23:59Z</dcterms:modified>
</cp:coreProperties>
</file>