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78163C9-C281-4194-BF82-63597A4ECAE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G16" i="2" l="1"/>
  <c r="C16" i="2"/>
  <c r="E16" i="2"/>
  <c r="C21" i="1"/>
  <c r="G15" i="2"/>
  <c r="C15" i="2"/>
  <c r="E15" i="2"/>
  <c r="G14" i="2"/>
  <c r="C14" i="2"/>
  <c r="E14" i="2"/>
  <c r="C7" i="1"/>
  <c r="C8" i="1"/>
  <c r="E25" i="1"/>
  <c r="G13" i="2"/>
  <c r="C13" i="2"/>
  <c r="E13" i="2"/>
  <c r="E24" i="1"/>
  <c r="G12" i="2"/>
  <c r="C12" i="2"/>
  <c r="E12" i="2"/>
  <c r="E23" i="1"/>
  <c r="G11" i="2"/>
  <c r="C11" i="2"/>
  <c r="E11" i="2"/>
  <c r="E22" i="1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E26" i="1"/>
  <c r="F26" i="1"/>
  <c r="G26" i="1"/>
  <c r="K26" i="1"/>
  <c r="E27" i="1"/>
  <c r="F27" i="1"/>
  <c r="G27" i="1"/>
  <c r="K27" i="1"/>
  <c r="D9" i="1"/>
  <c r="C9" i="1"/>
  <c r="F22" i="1"/>
  <c r="G22" i="1"/>
  <c r="J22" i="1"/>
  <c r="F23" i="1"/>
  <c r="G23" i="1"/>
  <c r="F24" i="1"/>
  <c r="G24" i="1"/>
  <c r="J24" i="1"/>
  <c r="F25" i="1"/>
  <c r="G25" i="1"/>
  <c r="K25" i="1"/>
  <c r="Q26" i="1"/>
  <c r="Q27" i="1"/>
  <c r="E21" i="1"/>
  <c r="F21" i="1"/>
  <c r="F16" i="1"/>
  <c r="C17" i="1"/>
  <c r="Q25" i="1"/>
  <c r="J23" i="1"/>
  <c r="Q23" i="1"/>
  <c r="Q24" i="1"/>
  <c r="Q22" i="1"/>
  <c r="G21" i="1"/>
  <c r="H21" i="1"/>
  <c r="Q21" i="1"/>
  <c r="C12" i="1"/>
  <c r="C11" i="1"/>
  <c r="O23" i="1" l="1"/>
  <c r="O27" i="1"/>
  <c r="C15" i="1"/>
  <c r="O26" i="1"/>
  <c r="O24" i="1"/>
  <c r="O22" i="1"/>
  <c r="O21" i="1"/>
  <c r="O2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<sst xmlns="http://schemas.openxmlformats.org/spreadsheetml/2006/main" count="117" uniqueCount="90">
  <si>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</si>
  <si>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</si>
  <si>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</si>
  <si>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</si>
  <si>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</si>
  <si>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</si>
  <si>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</si>
  <si>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</si>
  <si>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</si>
  <si>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</si>
  <si>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</si>
  <si>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</si>
  <si>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</si>
  <si>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</si>
  <si>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</si>
  <si>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</si>
  <si>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</si>
  <si>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</si>
  <si>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</si>
  <si>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</si>
  <si>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</si>
  <si>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</si>
  <si>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</si>
  <si>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</si>
  <si>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</si>
  <si>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</si>
  <si>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</si>
  <si>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</si>
  <si>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EA/AR</t>
  </si>
  <si>
    <t>IBVS 5643</t>
  </si>
  <si>
    <t># of data points:</t>
  </si>
  <si>
    <t>IBVS 5731</t>
  </si>
  <si>
    <t>My time zone &gt;&gt;&gt;&gt;&gt;</t>
  </si>
  <si>
    <t>(PST=8, PDT=MDT=7, MDT=CST=6, etc.)</t>
  </si>
  <si>
    <t>JD today</t>
  </si>
  <si>
    <t>New Cycle</t>
  </si>
  <si>
    <t>Next ToM</t>
  </si>
  <si>
    <t>IBVS 5781</t>
  </si>
  <si>
    <t>I</t>
  </si>
  <si>
    <t>Add cycle</t>
  </si>
  <si>
    <t>Old Cycle</t>
  </si>
  <si>
    <t>Start of linear fit &gt;&gt;&gt;&gt;&gt;&gt;&gt;&gt;&gt;&gt;&gt;&gt;&gt;&gt;&gt;&gt;&gt;&gt;&gt;&gt;&gt;</t>
  </si>
  <si>
    <t>OEJV 0137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</si>
  <si>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</si>
  <si>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</si>
  <si>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</si>
  <si>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</si>
  <si>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</si>
  <si>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</si>
  <si>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</si>
  <si>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</si>
  <si>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</si>
  <si>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</si>
  <si>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</si>
  <si>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2452839.4576 </t>
  </si>
  <si>
    <t> 18.07.2003 22:58 </t>
  </si>
  <si>
    <t> 0.0345 </t>
  </si>
  <si>
    <t>E </t>
  </si>
  <si>
    <t>o</t>
  </si>
  <si>
    <t> P.Frank </t>
  </si>
  <si>
    <t>BAVM 172 </t>
  </si>
  <si>
    <t>2453618.4732 </t>
  </si>
  <si>
    <t> 04.09.2005 23:21 </t>
  </si>
  <si>
    <t> 0.0408 </t>
  </si>
  <si>
    <t>C </t>
  </si>
  <si>
    <t>-I</t>
  </si>
  <si>
    <t> F.Agerer </t>
  </si>
  <si>
    <t>BAVM 178 </t>
  </si>
  <si>
    <t>2453657.4274 </t>
  </si>
  <si>
    <t> 13.10.2005 22:15 </t>
  </si>
  <si>
    <t>5352</t>
  </si>
  <si>
    <t> 0.0445 </t>
  </si>
  <si>
    <t>2453919.4529 </t>
  </si>
  <si>
    <t> 02.07.2006 22:52 </t>
  </si>
  <si>
    <t>5426</t>
  </si>
  <si>
    <t> 0.0396 </t>
  </si>
  <si>
    <t> R.Diethelm </t>
  </si>
  <si>
    <t> BBS 166 (=IBVS 5781) </t>
  </si>
  <si>
    <t>2455155.2514 </t>
  </si>
  <si>
    <t> 19.11.2009 18:02 </t>
  </si>
  <si>
    <t>5775</t>
  </si>
  <si>
    <t> 0.0461 </t>
  </si>
  <si>
    <t>R</t>
  </si>
  <si>
    <t> M.Lehky </t>
  </si>
  <si>
    <t>OEJV 0137 </t>
  </si>
  <si>
    <t>2455463.3155 </t>
  </si>
  <si>
    <t> 23.09.2010 19:34 </t>
  </si>
  <si>
    <t>5862</t>
  </si>
  <si>
    <t> 0.0474 </t>
  </si>
  <si>
    <t>V0964 Cyg /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</si>
</sst>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V0964 Cyg - O-C Diagr.</a:t>
            </a:r>
          </a:p>
        </c:rich>
      </c:tx>
      <c:layout>
        <c:manualLayout>
          <c:xMode val="edge"/>
          <c:yMode val="edge"/>
          <c:x val="0.3634898384067096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634168126798494"/>
          <c:w val="0.81421712046357564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D7-49B2-ACAD-FB2C12D94A0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D7-49B2-ACAD-FB2C12D94A0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  <c:pt idx="1">
                  <c:v>3.4480599999369588E-2</c:v>
                </c:pt>
                <c:pt idx="2">
                  <c:v>4.0772599997580983E-2</c:v>
                </c:pt>
                <c:pt idx="3">
                  <c:v>4.4507200000225566E-2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D7-49B2-ACAD-FB2C12D94A0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4">
                  <c:v>3.9603599994734395E-2</c:v>
                </c:pt>
                <c:pt idx="5">
                  <c:v>4.6114999997371342E-2</c:v>
                </c:pt>
                <c:pt idx="6">
                  <c:v>4.7473200000240467E-2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D7-49B2-ACAD-FB2C12D94A0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D7-49B2-ACAD-FB2C12D94A0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D7-49B2-ACAD-FB2C12D94A0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1">
                    <c:v>2.8999999999999998E-3</c:v>
                  </c:pt>
                  <c:pt idx="2">
                    <c:v>1.4E-3</c:v>
                  </c:pt>
                  <c:pt idx="3">
                    <c:v>1.1999999999999999E-3</c:v>
                  </c:pt>
                  <c:pt idx="4">
                    <c:v>8.9999999999999998E-4</c:v>
                  </c:pt>
                  <c:pt idx="5">
                    <c:v>4.0000000000000002E-4</c:v>
                  </c:pt>
                  <c:pt idx="6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D7-49B2-ACAD-FB2C12D94A0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5121</c:v>
                </c:pt>
                <c:pt idx="2">
                  <c:v>5341</c:v>
                </c:pt>
                <c:pt idx="3">
                  <c:v>5352</c:v>
                </c:pt>
                <c:pt idx="4">
                  <c:v>5426</c:v>
                </c:pt>
                <c:pt idx="5">
                  <c:v>5775</c:v>
                </c:pt>
                <c:pt idx="6">
                  <c:v>5862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-3.971878411986339E-2</c:v>
                </c:pt>
                <c:pt idx="1">
                  <c:v>3.6801810125757145E-2</c:v>
                </c:pt>
                <c:pt idx="2">
                  <c:v>4.0089162348767596E-2</c:v>
                </c:pt>
                <c:pt idx="3">
                  <c:v>4.0253529959918113E-2</c:v>
                </c:pt>
                <c:pt idx="4">
                  <c:v>4.1359275707657989E-2</c:v>
                </c:pt>
                <c:pt idx="5">
                  <c:v>4.6574211734160931E-2</c:v>
                </c:pt>
                <c:pt idx="6">
                  <c:v>4.7874210113260526E-2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1D7-49B2-ACAD-FB2C12D94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8532040"/>
        <c:axId val="1"/>
      </c:scatterChart>
      <c:valAx>
        <c:axId val="548532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6562358218954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8532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6318335813839"/>
          <c:y val="0.92073298764483702"/>
          <c:w val="0.6752832228766234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16</xdr:col>
      <xdr:colOff>323850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43DB27F-4F37-D0F7-5165-48868D1B2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78" TargetMode="External"/><Relationship Id="rId2" Type="http://schemas.openxmlformats.org/officeDocument/2006/relationships/hyperlink" Target="http://www.bav-astro.de/sfs/BAVM_link.php?BAVMnr=178" TargetMode="External"/><Relationship Id="rId1" Type="http://schemas.openxmlformats.org/officeDocument/2006/relationships/hyperlink" Target="http://www.bav-astro.de/sfs/BAVM_link.php?BAVMnr=172" TargetMode="External"/><Relationship Id="rId5" Type="http://schemas.openxmlformats.org/officeDocument/2006/relationships/hyperlink" Target="http://var.astro.cz/oejv/issues/oejv0137.pdf" TargetMode="External"/><Relationship Id="rId4" Type="http://schemas.openxmlformats.org/officeDocument/2006/relationships/hyperlink" Target="http://var.astro.cz/oejv/issues/oejv01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89</v>
      </c>
    </row>
    <row r="2" spans="1:6" x14ac:dyDescent="0.2">
      <c r="A2" t="s">
        <v>24</v>
      </c>
      <c r="B2" t="s">
        <v>28</v>
      </c>
    </row>
    <row r="3" spans="1:6" ht="13.5" thickBot="1" x14ac:dyDescent="0.25"/>
    <row r="4" spans="1:6" ht="14.25" thickTop="1" thickBot="1" x14ac:dyDescent="0.25">
      <c r="A4" s="7" t="s">
        <v>0</v>
      </c>
      <c r="C4" s="3">
        <v>34706.211000000003</v>
      </c>
      <c r="D4" s="4">
        <v>3.5409514</v>
      </c>
    </row>
    <row r="5" spans="1:6" ht="13.5" thickTop="1" x14ac:dyDescent="0.2">
      <c r="A5" s="15" t="s">
        <v>32</v>
      </c>
      <c r="B5" s="12"/>
      <c r="C5" s="16">
        <v>-9.5</v>
      </c>
      <c r="D5" s="12" t="s">
        <v>33</v>
      </c>
    </row>
    <row r="6" spans="1:6" x14ac:dyDescent="0.2">
      <c r="A6" s="7" t="s">
        <v>1</v>
      </c>
    </row>
    <row r="7" spans="1:6" x14ac:dyDescent="0.2">
      <c r="A7" t="s">
        <v>2</v>
      </c>
      <c r="C7">
        <f>+C4</f>
        <v>34706.211000000003</v>
      </c>
    </row>
    <row r="8" spans="1:6" x14ac:dyDescent="0.2">
      <c r="A8" t="s">
        <v>3</v>
      </c>
      <c r="C8">
        <f>+D4</f>
        <v>3.5409514</v>
      </c>
    </row>
    <row r="9" spans="1:6" x14ac:dyDescent="0.2">
      <c r="A9" s="30" t="s">
        <v>41</v>
      </c>
      <c r="B9" s="31">
        <v>22</v>
      </c>
      <c r="C9" s="28" t="str">
        <f>"F"&amp;B9</f>
        <v>F22</v>
      </c>
      <c r="D9" s="29" t="str">
        <f>"G"&amp;B9</f>
        <v>G22</v>
      </c>
    </row>
    <row r="10" spans="1:6" ht="13.5" thickBot="1" x14ac:dyDescent="0.25">
      <c r="A10" s="12"/>
      <c r="B10" s="12"/>
      <c r="C10" s="6" t="s">
        <v>20</v>
      </c>
      <c r="D10" s="6" t="s">
        <v>21</v>
      </c>
      <c r="E10" s="12"/>
    </row>
    <row r="11" spans="1:6" x14ac:dyDescent="0.2">
      <c r="A11" s="12" t="s">
        <v>16</v>
      </c>
      <c r="B11" s="12"/>
      <c r="C11" s="27">
        <f ca="1">INTERCEPT(INDIRECT($D$9):G990,INDIRECT($C$9):F990)</f>
        <v>-3.971878411986339E-2</v>
      </c>
      <c r="D11" s="5"/>
      <c r="E11" s="12"/>
    </row>
    <row r="12" spans="1:6" x14ac:dyDescent="0.2">
      <c r="A12" s="12" t="s">
        <v>17</v>
      </c>
      <c r="B12" s="12"/>
      <c r="C12" s="27">
        <f ca="1">SLOPE(INDIRECT($D$9):G990,INDIRECT($C$9):F990)</f>
        <v>1.4942510104592957E-5</v>
      </c>
      <c r="D12" s="5"/>
      <c r="E12" s="12"/>
    </row>
    <row r="13" spans="1:6" x14ac:dyDescent="0.2">
      <c r="A13" s="12" t="s">
        <v>19</v>
      </c>
      <c r="B13" s="12"/>
      <c r="C13" s="5" t="s">
        <v>14</v>
      </c>
    </row>
    <row r="14" spans="1:6" x14ac:dyDescent="0.2">
      <c r="A14" s="12"/>
      <c r="B14" s="12"/>
      <c r="C14" s="12"/>
    </row>
    <row r="15" spans="1:6" x14ac:dyDescent="0.2">
      <c r="A15" s="17" t="s">
        <v>18</v>
      </c>
      <c r="B15" s="12"/>
      <c r="C15" s="18">
        <f ca="1">(C7+C11)+(C8+C12)*INT(MAX(F21:F3531))</f>
        <v>55463.315981010113</v>
      </c>
      <c r="E15" s="19" t="s">
        <v>39</v>
      </c>
      <c r="F15" s="16">
        <v>1</v>
      </c>
    </row>
    <row r="16" spans="1:6" x14ac:dyDescent="0.2">
      <c r="A16" s="21" t="s">
        <v>4</v>
      </c>
      <c r="B16" s="12"/>
      <c r="C16" s="22">
        <f ca="1">+C8+C12</f>
        <v>3.5409663425101048</v>
      </c>
      <c r="E16" s="19" t="s">
        <v>34</v>
      </c>
      <c r="F16" s="20">
        <f ca="1">NOW()+15018.5+$C$5/24</f>
        <v>60344.683113078703</v>
      </c>
    </row>
    <row r="17" spans="1:17" ht="13.5" thickBot="1" x14ac:dyDescent="0.25">
      <c r="A17" s="19" t="s">
        <v>30</v>
      </c>
      <c r="B17" s="12"/>
      <c r="C17" s="12">
        <f>COUNT(C21:C2189)</f>
        <v>7</v>
      </c>
      <c r="E17" s="19" t="s">
        <v>40</v>
      </c>
      <c r="F17" s="20">
        <f ca="1">ROUND(2*(F16-$C$7)/$C$8,0)/2+F15</f>
        <v>7241.5</v>
      </c>
    </row>
    <row r="18" spans="1:17" ht="14.25" thickTop="1" thickBot="1" x14ac:dyDescent="0.25">
      <c r="A18" s="21" t="s">
        <v>5</v>
      </c>
      <c r="B18" s="12"/>
      <c r="C18" s="24">
        <f ca="1">+C15</f>
        <v>55463.315981010113</v>
      </c>
      <c r="D18" s="25">
        <f ca="1">+C16</f>
        <v>3.5409663425101048</v>
      </c>
      <c r="E18" s="19" t="s">
        <v>35</v>
      </c>
      <c r="F18" s="29">
        <f ca="1">ROUND(2*(F16-$C$15)/$C$16,0)/2+F15</f>
        <v>1379.5</v>
      </c>
    </row>
    <row r="19" spans="1:17" ht="13.5" thickTop="1" x14ac:dyDescent="0.2">
      <c r="E19" s="19" t="s">
        <v>36</v>
      </c>
      <c r="F19" s="23">
        <f ca="1">+$C$15+$C$16*F18-15018.5-$C$5/24</f>
        <v>45329.974883836141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50</v>
      </c>
      <c r="I20" s="9" t="s">
        <v>53</v>
      </c>
      <c r="J20" s="9" t="s">
        <v>47</v>
      </c>
      <c r="K20" s="9" t="s">
        <v>45</v>
      </c>
      <c r="L20" s="9" t="s">
        <v>25</v>
      </c>
      <c r="M20" s="9" t="s">
        <v>26</v>
      </c>
      <c r="N20" s="9" t="s">
        <v>27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13">
        <f>+C4</f>
        <v>34706.211000000003</v>
      </c>
      <c r="D21" s="13" t="s">
        <v>14</v>
      </c>
      <c r="E21">
        <f t="shared" ref="E21:E27" si="0">+(C21-C$7)/C$8</f>
        <v>0</v>
      </c>
      <c r="F21">
        <f t="shared" ref="F21:F27" si="1">ROUND(2*E21,0)/2</f>
        <v>0</v>
      </c>
      <c r="G21">
        <f t="shared" ref="G21:G27" si="2">+C21-(C$7+F21*C$8)</f>
        <v>0</v>
      </c>
      <c r="H21">
        <f>+G21</f>
        <v>0</v>
      </c>
      <c r="O21">
        <f t="shared" ref="O21:O27" ca="1" si="3">+C$11+C$12*$F21</f>
        <v>-3.971878411986339E-2</v>
      </c>
      <c r="Q21" s="2">
        <f t="shared" ref="Q21:Q27" si="4">+C21-15018.5</f>
        <v>19687.711000000003</v>
      </c>
    </row>
    <row r="22" spans="1:17" x14ac:dyDescent="0.2">
      <c r="A22" s="10" t="s">
        <v>29</v>
      </c>
      <c r="B22" s="11"/>
      <c r="C22" s="14">
        <v>52839.457600000002</v>
      </c>
      <c r="D22" s="14">
        <v>2.8999999999999998E-3</v>
      </c>
      <c r="E22">
        <f t="shared" si="0"/>
        <v>5121.0097376654194</v>
      </c>
      <c r="F22">
        <f t="shared" si="1"/>
        <v>5121</v>
      </c>
      <c r="G22">
        <f t="shared" si="2"/>
        <v>3.4480599999369588E-2</v>
      </c>
      <c r="J22">
        <f>+G22</f>
        <v>3.4480599999369588E-2</v>
      </c>
      <c r="O22">
        <f t="shared" ca="1" si="3"/>
        <v>3.6801810125757145E-2</v>
      </c>
      <c r="Q22" s="2">
        <f t="shared" si="4"/>
        <v>37820.957600000002</v>
      </c>
    </row>
    <row r="23" spans="1:17" x14ac:dyDescent="0.2">
      <c r="A23" s="12" t="s">
        <v>31</v>
      </c>
      <c r="B23" s="11"/>
      <c r="C23" s="13">
        <v>53618.4732</v>
      </c>
      <c r="D23" s="13">
        <v>1.4E-3</v>
      </c>
      <c r="E23">
        <f t="shared" si="0"/>
        <v>5341.0115145889877</v>
      </c>
      <c r="F23">
        <f t="shared" si="1"/>
        <v>5341</v>
      </c>
      <c r="G23">
        <f t="shared" si="2"/>
        <v>4.0772599997580983E-2</v>
      </c>
      <c r="J23">
        <f>+G23</f>
        <v>4.0772599997580983E-2</v>
      </c>
      <c r="O23">
        <f t="shared" ca="1" si="3"/>
        <v>4.0089162348767596E-2</v>
      </c>
      <c r="Q23" s="2">
        <f t="shared" si="4"/>
        <v>38599.9732</v>
      </c>
    </row>
    <row r="24" spans="1:17" x14ac:dyDescent="0.2">
      <c r="A24" s="12" t="s">
        <v>31</v>
      </c>
      <c r="B24" s="11"/>
      <c r="C24" s="13">
        <v>53657.4274</v>
      </c>
      <c r="D24" s="13">
        <v>1.1999999999999999E-3</v>
      </c>
      <c r="E24">
        <f t="shared" si="0"/>
        <v>5352.0125692772845</v>
      </c>
      <c r="F24">
        <f t="shared" si="1"/>
        <v>5352</v>
      </c>
      <c r="G24">
        <f t="shared" si="2"/>
        <v>4.4507200000225566E-2</v>
      </c>
      <c r="J24">
        <f>+G24</f>
        <v>4.4507200000225566E-2</v>
      </c>
      <c r="O24">
        <f t="shared" ca="1" si="3"/>
        <v>4.0253529959918113E-2</v>
      </c>
      <c r="Q24" s="2">
        <f t="shared" si="4"/>
        <v>38638.9274</v>
      </c>
    </row>
    <row r="25" spans="1:17" x14ac:dyDescent="0.2">
      <c r="A25" s="26" t="s">
        <v>37</v>
      </c>
      <c r="B25" s="5" t="s">
        <v>38</v>
      </c>
      <c r="C25" s="13">
        <v>53919.452899999997</v>
      </c>
      <c r="D25" s="13">
        <v>8.9999999999999998E-4</v>
      </c>
      <c r="E25">
        <f t="shared" si="0"/>
        <v>5426.0111844517251</v>
      </c>
      <c r="F25">
        <f t="shared" si="1"/>
        <v>5426</v>
      </c>
      <c r="G25">
        <f t="shared" si="2"/>
        <v>3.9603599994734395E-2</v>
      </c>
      <c r="K25">
        <f>+G25</f>
        <v>3.9603599994734395E-2</v>
      </c>
      <c r="O25">
        <f t="shared" ca="1" si="3"/>
        <v>4.1359275707657989E-2</v>
      </c>
      <c r="Q25" s="2">
        <f t="shared" si="4"/>
        <v>38900.952899999997</v>
      </c>
    </row>
    <row r="26" spans="1:17" x14ac:dyDescent="0.2">
      <c r="A26" s="32" t="s">
        <v>42</v>
      </c>
      <c r="B26" s="33" t="s">
        <v>38</v>
      </c>
      <c r="C26" s="34">
        <v>55155.251450000003</v>
      </c>
      <c r="D26" s="34">
        <v>4.0000000000000002E-4</v>
      </c>
      <c r="E26">
        <f t="shared" si="0"/>
        <v>5775.0130233360451</v>
      </c>
      <c r="F26">
        <f t="shared" si="1"/>
        <v>5775</v>
      </c>
      <c r="G26">
        <f t="shared" si="2"/>
        <v>4.6114999997371342E-2</v>
      </c>
      <c r="K26">
        <f>+G26</f>
        <v>4.6114999997371342E-2</v>
      </c>
      <c r="O26">
        <f t="shared" ca="1" si="3"/>
        <v>4.6574211734160931E-2</v>
      </c>
      <c r="Q26" s="2">
        <f t="shared" si="4"/>
        <v>40136.751450000003</v>
      </c>
    </row>
    <row r="27" spans="1:17" x14ac:dyDescent="0.2">
      <c r="A27" s="32" t="s">
        <v>42</v>
      </c>
      <c r="B27" s="33" t="s">
        <v>38</v>
      </c>
      <c r="C27" s="34">
        <v>55463.315580000002</v>
      </c>
      <c r="D27" s="34">
        <v>4.0000000000000002E-4</v>
      </c>
      <c r="E27">
        <f t="shared" si="0"/>
        <v>5862.0134069052738</v>
      </c>
      <c r="F27">
        <f t="shared" si="1"/>
        <v>5862</v>
      </c>
      <c r="G27">
        <f t="shared" si="2"/>
        <v>4.7473200000240467E-2</v>
      </c>
      <c r="K27">
        <f>+G27</f>
        <v>4.7473200000240467E-2</v>
      </c>
      <c r="O27">
        <f t="shared" ca="1" si="3"/>
        <v>4.7874210113260526E-2</v>
      </c>
      <c r="Q27" s="2">
        <f t="shared" si="4"/>
        <v>40444.815580000002</v>
      </c>
    </row>
    <row r="28" spans="1:17" x14ac:dyDescent="0.2">
      <c r="B28" s="5"/>
      <c r="D28" s="5"/>
      <c r="Q28" s="2"/>
    </row>
    <row r="29" spans="1:17" x14ac:dyDescent="0.2">
      <c r="D29" s="5"/>
      <c r="Q29" s="2"/>
    </row>
    <row r="30" spans="1:17" x14ac:dyDescent="0.2">
      <c r="D30" s="5"/>
      <c r="Q30" s="2"/>
    </row>
    <row r="31" spans="1:17" x14ac:dyDescent="0.2">
      <c r="D31" s="5"/>
      <c r="Q31" s="2"/>
    </row>
    <row r="32" spans="1:17" x14ac:dyDescent="0.2">
      <c r="D32" s="5"/>
    </row>
    <row r="33" spans="4:4" x14ac:dyDescent="0.2">
      <c r="D33" s="5"/>
    </row>
    <row r="34" spans="4:4" x14ac:dyDescent="0.2">
      <c r="D34" s="5"/>
    </row>
    <row r="35" spans="4:4" x14ac:dyDescent="0.2">
      <c r="D35" s="5"/>
    </row>
    <row r="36" spans="4:4" x14ac:dyDescent="0.2">
      <c r="D36" s="5"/>
    </row>
    <row r="37" spans="4:4" x14ac:dyDescent="0.2">
      <c r="D37" s="5"/>
    </row>
    <row r="38" spans="4:4" x14ac:dyDescent="0.2">
      <c r="D38" s="5"/>
    </row>
    <row r="39" spans="4:4" x14ac:dyDescent="0.2">
      <c r="D39" s="5"/>
    </row>
    <row r="40" spans="4:4" x14ac:dyDescent="0.2">
      <c r="D40" s="5"/>
    </row>
    <row r="41" spans="4:4" x14ac:dyDescent="0.2">
      <c r="D41" s="5"/>
    </row>
    <row r="42" spans="4:4" x14ac:dyDescent="0.2">
      <c r="D42" s="5"/>
    </row>
    <row r="43" spans="4:4" x14ac:dyDescent="0.2">
      <c r="D43" s="5"/>
    </row>
    <row r="44" spans="4:4" x14ac:dyDescent="0.2">
      <c r="D44" s="5"/>
    </row>
    <row r="45" spans="4:4" x14ac:dyDescent="0.2">
      <c r="D45" s="5"/>
    </row>
    <row r="46" spans="4:4" x14ac:dyDescent="0.2">
      <c r="D46" s="5"/>
    </row>
    <row r="47" spans="4:4" x14ac:dyDescent="0.2">
      <c r="D47" s="5"/>
    </row>
    <row r="48" spans="4:4" x14ac:dyDescent="0.2">
      <c r="D48" s="5"/>
    </row>
    <row r="49" spans="4:4" x14ac:dyDescent="0.2">
      <c r="D49" s="5"/>
    </row>
    <row r="50" spans="4:4" x14ac:dyDescent="0.2">
      <c r="D50" s="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0"/>
  <sheetViews>
    <sheetView workbookViewId="0">
      <selection activeCell="A15" sqref="A15:D16"/>
    </sheetView>
  </sheetViews>
  <sheetFormatPr defaultRowHeight="12.75" x14ac:dyDescent="0.2"/>
  <cols>
    <col min="1" max="1" width="19.7109375" style="13" customWidth="1"/>
    <col min="2" max="2" width="4.42578125" style="12" customWidth="1"/>
    <col min="3" max="3" width="12.7109375" style="13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3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5" t="s">
        <v>43</v>
      </c>
      <c r="I1" s="36" t="s">
        <v>44</v>
      </c>
      <c r="J1" s="37" t="s">
        <v>45</v>
      </c>
    </row>
    <row r="2" spans="1:16" x14ac:dyDescent="0.2">
      <c r="I2" s="38" t="s">
        <v>46</v>
      </c>
      <c r="J2" s="39" t="s">
        <v>47</v>
      </c>
    </row>
    <row r="3" spans="1:16" x14ac:dyDescent="0.2">
      <c r="A3" s="40" t="s">
        <v>48</v>
      </c>
      <c r="I3" s="38" t="s">
        <v>49</v>
      </c>
      <c r="J3" s="39" t="s">
        <v>50</v>
      </c>
    </row>
    <row r="4" spans="1:16" x14ac:dyDescent="0.2">
      <c r="I4" s="38" t="s">
        <v>51</v>
      </c>
      <c r="J4" s="39" t="s">
        <v>50</v>
      </c>
    </row>
    <row r="5" spans="1:16" ht="13.5" thickBot="1" x14ac:dyDescent="0.25">
      <c r="I5" s="41" t="s">
        <v>52</v>
      </c>
      <c r="J5" s="42" t="s">
        <v>53</v>
      </c>
    </row>
    <row r="10" spans="1:16" ht="13.5" thickBot="1" x14ac:dyDescent="0.25"/>
    <row r="11" spans="1:16" ht="12.75" customHeight="1" thickBot="1" x14ac:dyDescent="0.25">
      <c r="A11" s="13" t="str">
        <f t="shared" ref="A11:A16" si="0">P11</f>
        <v>BAVM 172 </v>
      </c>
      <c r="B11" s="5" t="str">
        <f t="shared" ref="B11:B16" si="1">IF(H11=INT(H11),"I","II")</f>
        <v>I</v>
      </c>
      <c r="C11" s="13">
        <f t="shared" ref="C11:C16" si="2">1*G11</f>
        <v>52839.457600000002</v>
      </c>
      <c r="D11" s="12" t="str">
        <f t="shared" ref="D11:D16" si="3">VLOOKUP(F11,I$1:J$5,2,FALSE)</f>
        <v>vis</v>
      </c>
      <c r="E11" s="43">
        <f>VLOOKUP(C11,Active!C$21:E$971,3,FALSE)</f>
        <v>5121.0097376654194</v>
      </c>
      <c r="F11" s="5" t="s">
        <v>52</v>
      </c>
      <c r="G11" s="12" t="str">
        <f t="shared" ref="G11:G16" si="4">MID(I11,3,LEN(I11)-3)</f>
        <v>52839.4576</v>
      </c>
      <c r="H11" s="13">
        <f t="shared" ref="H11:H16" si="5">1*K11</f>
        <v>5121</v>
      </c>
      <c r="I11" s="44" t="s">
        <v>54</v>
      </c>
      <c r="J11" s="45" t="s">
        <v>55</v>
      </c>
      <c r="K11" s="44">
        <v>5121</v>
      </c>
      <c r="L11" s="44" t="s">
        <v>56</v>
      </c>
      <c r="M11" s="45" t="s">
        <v>57</v>
      </c>
      <c r="N11" s="45" t="s">
        <v>58</v>
      </c>
      <c r="O11" s="46" t="s">
        <v>59</v>
      </c>
      <c r="P11" s="47" t="s">
        <v>60</v>
      </c>
    </row>
    <row r="12" spans="1:16" ht="12.75" customHeight="1" thickBot="1" x14ac:dyDescent="0.25">
      <c r="A12" s="13" t="str">
        <f t="shared" si="0"/>
        <v>BAVM 178 </v>
      </c>
      <c r="B12" s="5" t="str">
        <f t="shared" si="1"/>
        <v>I</v>
      </c>
      <c r="C12" s="13">
        <f t="shared" si="2"/>
        <v>53618.4732</v>
      </c>
      <c r="D12" s="12" t="str">
        <f t="shared" si="3"/>
        <v>vis</v>
      </c>
      <c r="E12" s="43">
        <f>VLOOKUP(C12,Active!C$21:E$971,3,FALSE)</f>
        <v>5341.0115145889877</v>
      </c>
      <c r="F12" s="5" t="s">
        <v>52</v>
      </c>
      <c r="G12" s="12" t="str">
        <f t="shared" si="4"/>
        <v>53618.4732</v>
      </c>
      <c r="H12" s="13">
        <f t="shared" si="5"/>
        <v>5341</v>
      </c>
      <c r="I12" s="44" t="s">
        <v>61</v>
      </c>
      <c r="J12" s="45" t="s">
        <v>62</v>
      </c>
      <c r="K12" s="44">
        <v>5341</v>
      </c>
      <c r="L12" s="44" t="s">
        <v>63</v>
      </c>
      <c r="M12" s="45" t="s">
        <v>64</v>
      </c>
      <c r="N12" s="45" t="s">
        <v>65</v>
      </c>
      <c r="O12" s="46" t="s">
        <v>66</v>
      </c>
      <c r="P12" s="47" t="s">
        <v>67</v>
      </c>
    </row>
    <row r="13" spans="1:16" ht="12.75" customHeight="1" thickBot="1" x14ac:dyDescent="0.25">
      <c r="A13" s="13" t="str">
        <f t="shared" si="0"/>
        <v>BAVM 178 </v>
      </c>
      <c r="B13" s="5" t="str">
        <f t="shared" si="1"/>
        <v>I</v>
      </c>
      <c r="C13" s="13">
        <f t="shared" si="2"/>
        <v>53657.4274</v>
      </c>
      <c r="D13" s="12" t="str">
        <f t="shared" si="3"/>
        <v>vis</v>
      </c>
      <c r="E13" s="43">
        <f>VLOOKUP(C13,Active!C$21:E$971,3,FALSE)</f>
        <v>5352.0125692772845</v>
      </c>
      <c r="F13" s="5" t="s">
        <v>52</v>
      </c>
      <c r="G13" s="12" t="str">
        <f t="shared" si="4"/>
        <v>53657.4274</v>
      </c>
      <c r="H13" s="13">
        <f t="shared" si="5"/>
        <v>5352</v>
      </c>
      <c r="I13" s="44" t="s">
        <v>68</v>
      </c>
      <c r="J13" s="45" t="s">
        <v>69</v>
      </c>
      <c r="K13" s="44" t="s">
        <v>70</v>
      </c>
      <c r="L13" s="44" t="s">
        <v>71</v>
      </c>
      <c r="M13" s="45" t="s">
        <v>64</v>
      </c>
      <c r="N13" s="45" t="s">
        <v>65</v>
      </c>
      <c r="O13" s="46" t="s">
        <v>59</v>
      </c>
      <c r="P13" s="47" t="s">
        <v>67</v>
      </c>
    </row>
    <row r="14" spans="1:16" ht="12.75" customHeight="1" thickBot="1" x14ac:dyDescent="0.25">
      <c r="A14" s="13" t="str">
        <f t="shared" si="0"/>
        <v> BBS 166 (=IBVS 5781) </v>
      </c>
      <c r="B14" s="5" t="str">
        <f t="shared" si="1"/>
        <v>I</v>
      </c>
      <c r="C14" s="13">
        <f t="shared" si="2"/>
        <v>53919.452899999997</v>
      </c>
      <c r="D14" s="12" t="str">
        <f t="shared" si="3"/>
        <v>vis</v>
      </c>
      <c r="E14" s="43">
        <f>VLOOKUP(C14,Active!C$21:E$971,3,FALSE)</f>
        <v>5426.0111844517251</v>
      </c>
      <c r="F14" s="5" t="s">
        <v>52</v>
      </c>
      <c r="G14" s="12" t="str">
        <f t="shared" si="4"/>
        <v>53919.4529</v>
      </c>
      <c r="H14" s="13">
        <f t="shared" si="5"/>
        <v>5426</v>
      </c>
      <c r="I14" s="44" t="s">
        <v>72</v>
      </c>
      <c r="J14" s="45" t="s">
        <v>73</v>
      </c>
      <c r="K14" s="44" t="s">
        <v>74</v>
      </c>
      <c r="L14" s="44" t="s">
        <v>75</v>
      </c>
      <c r="M14" s="45" t="s">
        <v>64</v>
      </c>
      <c r="N14" s="45" t="s">
        <v>52</v>
      </c>
      <c r="O14" s="46" t="s">
        <v>76</v>
      </c>
      <c r="P14" s="46" t="s">
        <v>77</v>
      </c>
    </row>
    <row r="15" spans="1:16" ht="12.75" customHeight="1" thickBot="1" x14ac:dyDescent="0.25">
      <c r="A15" s="13" t="str">
        <f t="shared" si="0"/>
        <v>OEJV 0137 </v>
      </c>
      <c r="B15" s="5" t="str">
        <f t="shared" si="1"/>
        <v>I</v>
      </c>
      <c r="C15" s="13">
        <f t="shared" si="2"/>
        <v>55155.251400000001</v>
      </c>
      <c r="D15" s="12" t="str">
        <f t="shared" si="3"/>
        <v>vis</v>
      </c>
      <c r="E15" s="43" t="e">
        <f>VLOOKUP(C15,Active!C$21:E$971,3,FALSE)</f>
        <v>#N/A</v>
      </c>
      <c r="F15" s="5" t="s">
        <v>52</v>
      </c>
      <c r="G15" s="12" t="str">
        <f t="shared" si="4"/>
        <v>55155.2514</v>
      </c>
      <c r="H15" s="13">
        <f t="shared" si="5"/>
        <v>5775</v>
      </c>
      <c r="I15" s="44" t="s">
        <v>78</v>
      </c>
      <c r="J15" s="45" t="s">
        <v>79</v>
      </c>
      <c r="K15" s="44" t="s">
        <v>80</v>
      </c>
      <c r="L15" s="44" t="s">
        <v>81</v>
      </c>
      <c r="M15" s="45" t="s">
        <v>64</v>
      </c>
      <c r="N15" s="45" t="s">
        <v>82</v>
      </c>
      <c r="O15" s="46" t="s">
        <v>83</v>
      </c>
      <c r="P15" s="47" t="s">
        <v>84</v>
      </c>
    </row>
    <row r="16" spans="1:16" ht="12.75" customHeight="1" thickBot="1" x14ac:dyDescent="0.25">
      <c r="A16" s="13" t="str">
        <f t="shared" si="0"/>
        <v>OEJV 0137 </v>
      </c>
      <c r="B16" s="5" t="str">
        <f t="shared" si="1"/>
        <v>I</v>
      </c>
      <c r="C16" s="13">
        <f t="shared" si="2"/>
        <v>55463.315499999997</v>
      </c>
      <c r="D16" s="12" t="str">
        <f t="shared" si="3"/>
        <v>vis</v>
      </c>
      <c r="E16" s="43" t="e">
        <f>VLOOKUP(C16,Active!C$21:E$971,3,FALSE)</f>
        <v>#N/A</v>
      </c>
      <c r="F16" s="5" t="s">
        <v>52</v>
      </c>
      <c r="G16" s="12" t="str">
        <f t="shared" si="4"/>
        <v>55463.3155</v>
      </c>
      <c r="H16" s="13">
        <f t="shared" si="5"/>
        <v>5862</v>
      </c>
      <c r="I16" s="44" t="s">
        <v>85</v>
      </c>
      <c r="J16" s="45" t="s">
        <v>86</v>
      </c>
      <c r="K16" s="44" t="s">
        <v>87</v>
      </c>
      <c r="L16" s="44" t="s">
        <v>88</v>
      </c>
      <c r="M16" s="45" t="s">
        <v>64</v>
      </c>
      <c r="N16" s="45" t="s">
        <v>82</v>
      </c>
      <c r="O16" s="46" t="s">
        <v>83</v>
      </c>
      <c r="P16" s="47" t="s">
        <v>84</v>
      </c>
    </row>
    <row r="17" spans="2:6" x14ac:dyDescent="0.2">
      <c r="B17" s="5"/>
      <c r="E17" s="43"/>
      <c r="F17" s="5"/>
    </row>
    <row r="18" spans="2:6" x14ac:dyDescent="0.2">
      <c r="B18" s="5"/>
      <c r="E18" s="43"/>
      <c r="F18" s="5"/>
    </row>
    <row r="19" spans="2:6" x14ac:dyDescent="0.2">
      <c r="B19" s="5"/>
      <c r="E19" s="43"/>
      <c r="F19" s="5"/>
    </row>
    <row r="20" spans="2:6" x14ac:dyDescent="0.2">
      <c r="B20" s="5"/>
      <c r="E20" s="43"/>
      <c r="F20" s="5"/>
    </row>
    <row r="21" spans="2:6" x14ac:dyDescent="0.2">
      <c r="B21" s="5"/>
      <c r="E21" s="43"/>
      <c r="F21" s="5"/>
    </row>
    <row r="22" spans="2:6" x14ac:dyDescent="0.2">
      <c r="B22" s="5"/>
      <c r="E22" s="43"/>
      <c r="F22" s="5"/>
    </row>
    <row r="23" spans="2:6" x14ac:dyDescent="0.2">
      <c r="B23" s="5"/>
      <c r="E23" s="43"/>
      <c r="F23" s="5"/>
    </row>
    <row r="24" spans="2:6" x14ac:dyDescent="0.2">
      <c r="B24" s="5"/>
      <c r="E24" s="43"/>
      <c r="F24" s="5"/>
    </row>
    <row r="25" spans="2:6" x14ac:dyDescent="0.2">
      <c r="B25" s="5"/>
      <c r="E25" s="43"/>
      <c r="F25" s="5"/>
    </row>
    <row r="26" spans="2:6" x14ac:dyDescent="0.2">
      <c r="B26" s="5"/>
      <c r="E26" s="43"/>
      <c r="F26" s="5"/>
    </row>
    <row r="27" spans="2:6" x14ac:dyDescent="0.2">
      <c r="B27" s="5"/>
      <c r="E27" s="43"/>
      <c r="F27" s="5"/>
    </row>
    <row r="28" spans="2:6" x14ac:dyDescent="0.2">
      <c r="B28" s="5"/>
      <c r="E28" s="43"/>
      <c r="F28" s="5"/>
    </row>
    <row r="29" spans="2:6" x14ac:dyDescent="0.2">
      <c r="B29" s="5"/>
      <c r="E29" s="43"/>
      <c r="F29" s="5"/>
    </row>
    <row r="30" spans="2:6" x14ac:dyDescent="0.2">
      <c r="B30" s="5"/>
      <c r="E30" s="43"/>
      <c r="F30" s="5"/>
    </row>
    <row r="31" spans="2:6" x14ac:dyDescent="0.2">
      <c r="B31" s="5"/>
      <c r="E31" s="43"/>
      <c r="F31" s="5"/>
    </row>
    <row r="32" spans="2:6" x14ac:dyDescent="0.2">
      <c r="B32" s="5"/>
      <c r="E32" s="43"/>
      <c r="F32" s="5"/>
    </row>
    <row r="33" spans="2:6" x14ac:dyDescent="0.2">
      <c r="B33" s="5"/>
      <c r="F33" s="5"/>
    </row>
    <row r="34" spans="2:6" x14ac:dyDescent="0.2">
      <c r="B34" s="5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B38" s="5"/>
      <c r="F38" s="5"/>
    </row>
    <row r="39" spans="2:6" x14ac:dyDescent="0.2">
      <c r="B39" s="5"/>
      <c r="F39" s="5"/>
    </row>
    <row r="40" spans="2:6" x14ac:dyDescent="0.2">
      <c r="B40" s="5"/>
      <c r="F40" s="5"/>
    </row>
    <row r="41" spans="2:6" x14ac:dyDescent="0.2">
      <c r="B41" s="5"/>
      <c r="F41" s="5"/>
    </row>
    <row r="42" spans="2:6" x14ac:dyDescent="0.2">
      <c r="B42" s="5"/>
      <c r="F42" s="5"/>
    </row>
    <row r="43" spans="2:6" x14ac:dyDescent="0.2">
      <c r="B43" s="5"/>
      <c r="F43" s="5"/>
    </row>
    <row r="44" spans="2:6" x14ac:dyDescent="0.2">
      <c r="B44" s="5"/>
      <c r="F44" s="5"/>
    </row>
    <row r="45" spans="2:6" x14ac:dyDescent="0.2">
      <c r="B45" s="5"/>
      <c r="F45" s="5"/>
    </row>
    <row r="46" spans="2:6" x14ac:dyDescent="0.2">
      <c r="B46" s="5"/>
      <c r="F46" s="5"/>
    </row>
    <row r="47" spans="2:6" x14ac:dyDescent="0.2">
      <c r="B47" s="5"/>
      <c r="F47" s="5"/>
    </row>
    <row r="48" spans="2:6" x14ac:dyDescent="0.2">
      <c r="B48" s="5"/>
      <c r="F48" s="5"/>
    </row>
    <row r="49" spans="2:6" x14ac:dyDescent="0.2">
      <c r="B49" s="5"/>
      <c r="F49" s="5"/>
    </row>
    <row r="50" spans="2:6" x14ac:dyDescent="0.2">
      <c r="B50" s="5"/>
      <c r="F50" s="5"/>
    </row>
    <row r="51" spans="2:6" x14ac:dyDescent="0.2">
      <c r="B51" s="5"/>
      <c r="F51" s="5"/>
    </row>
    <row r="52" spans="2:6" x14ac:dyDescent="0.2">
      <c r="B52" s="5"/>
      <c r="F52" s="5"/>
    </row>
    <row r="53" spans="2:6" x14ac:dyDescent="0.2">
      <c r="B53" s="5"/>
      <c r="F53" s="5"/>
    </row>
    <row r="54" spans="2:6" x14ac:dyDescent="0.2">
      <c r="B54" s="5"/>
      <c r="F54" s="5"/>
    </row>
    <row r="55" spans="2:6" x14ac:dyDescent="0.2">
      <c r="B55" s="5"/>
      <c r="F55" s="5"/>
    </row>
    <row r="56" spans="2:6" x14ac:dyDescent="0.2">
      <c r="B56" s="5"/>
      <c r="F56" s="5"/>
    </row>
    <row r="57" spans="2:6" x14ac:dyDescent="0.2">
      <c r="B57" s="5"/>
      <c r="F57" s="5"/>
    </row>
    <row r="58" spans="2:6" x14ac:dyDescent="0.2">
      <c r="B58" s="5"/>
      <c r="F58" s="5"/>
    </row>
    <row r="59" spans="2:6" x14ac:dyDescent="0.2">
      <c r="B59" s="5"/>
      <c r="F59" s="5"/>
    </row>
    <row r="60" spans="2:6" x14ac:dyDescent="0.2">
      <c r="B60" s="5"/>
      <c r="F60" s="5"/>
    </row>
    <row r="61" spans="2:6" x14ac:dyDescent="0.2">
      <c r="B61" s="5"/>
      <c r="F61" s="5"/>
    </row>
    <row r="62" spans="2:6" x14ac:dyDescent="0.2">
      <c r="B62" s="5"/>
      <c r="F62" s="5"/>
    </row>
    <row r="63" spans="2:6" x14ac:dyDescent="0.2">
      <c r="B63" s="5"/>
      <c r="F63" s="5"/>
    </row>
    <row r="64" spans="2:6" x14ac:dyDescent="0.2">
      <c r="B64" s="5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</sheetData>
  <phoneticPr fontId="7" type="noConversion"/>
  <hyperlinks>
    <hyperlink ref="P11" r:id="rId1" display="http://www.bav-astro.de/sfs/BAVM_link.php?BAVMnr=172"/>
    <hyperlink ref="P12" r:id="rId2" display="http://www.bav-astro.de/sfs/BAVM_link.php?BAVMnr=178"/>
    <hyperlink ref="P13" r:id="rId3" display="http://www.bav-astro.de/sfs/BAVM_link.php?BAVMnr=178"/>
    <hyperlink ref="P15" r:id="rId4" display="http://var.astro.cz/oejv/issues/oejv0137.pdf"/>
    <hyperlink ref="P16" r:id="rId5" display="http://var.astro.cz/oejv/issues/oejv0137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2024-02-04T03:23:41Z</dcterms:modified>
</cp:coreProperties>
</file>