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139749D-CDDF-4F92-ACD5-D01C3CF4115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52" i="1"/>
  <c r="Q5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1" i="1"/>
  <c r="Q44" i="1"/>
  <c r="Q45" i="1"/>
  <c r="Q46" i="1"/>
  <c r="Q47" i="1"/>
  <c r="Q48" i="1"/>
  <c r="Q49" i="1"/>
  <c r="G13" i="2"/>
  <c r="C13" i="2"/>
  <c r="G39" i="2"/>
  <c r="C39" i="2"/>
  <c r="G38" i="2"/>
  <c r="C38" i="2"/>
  <c r="G37" i="2"/>
  <c r="C37" i="2"/>
  <c r="G36" i="2"/>
  <c r="C36" i="2"/>
  <c r="G35" i="2"/>
  <c r="C35" i="2"/>
  <c r="G34" i="2"/>
  <c r="C34" i="2"/>
  <c r="G12" i="2"/>
  <c r="C12" i="2"/>
  <c r="G11" i="2"/>
  <c r="C11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13" i="2"/>
  <c r="D13" i="2"/>
  <c r="B13" i="2"/>
  <c r="A13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12" i="2"/>
  <c r="D12" i="2"/>
  <c r="B12" i="2"/>
  <c r="A12" i="2"/>
  <c r="H11" i="2"/>
  <c r="D11" i="2"/>
  <c r="B11" i="2"/>
  <c r="A11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F16" i="1"/>
  <c r="F17" i="1" s="1"/>
  <c r="Q50" i="1"/>
  <c r="Q42" i="1"/>
  <c r="Q43" i="1"/>
  <c r="C7" i="1"/>
  <c r="E52" i="1"/>
  <c r="F52" i="1" s="1"/>
  <c r="G52" i="1" s="1"/>
  <c r="K52" i="1" s="1"/>
  <c r="C8" i="1"/>
  <c r="Q39" i="1"/>
  <c r="C17" i="1"/>
  <c r="E17" i="2"/>
  <c r="E19" i="2"/>
  <c r="E48" i="1"/>
  <c r="F48" i="1" s="1"/>
  <c r="G48" i="1" s="1"/>
  <c r="I48" i="1" s="1"/>
  <c r="E40" i="1"/>
  <c r="F40" i="1" s="1"/>
  <c r="G40" i="1" s="1"/>
  <c r="I40" i="1" s="1"/>
  <c r="E32" i="1"/>
  <c r="F32" i="1" s="1"/>
  <c r="G32" i="1" s="1"/>
  <c r="I32" i="1" s="1"/>
  <c r="E24" i="1"/>
  <c r="F24" i="1" s="1"/>
  <c r="G24" i="1" s="1"/>
  <c r="I24" i="1" s="1"/>
  <c r="E45" i="1"/>
  <c r="E35" i="2" s="1"/>
  <c r="E37" i="1"/>
  <c r="F37" i="1" s="1"/>
  <c r="G37" i="1" s="1"/>
  <c r="I37" i="1" s="1"/>
  <c r="E29" i="1"/>
  <c r="F29" i="1" s="1"/>
  <c r="G29" i="1" s="1"/>
  <c r="I29" i="1" s="1"/>
  <c r="E21" i="1"/>
  <c r="F21" i="1" s="1"/>
  <c r="G21" i="1" s="1"/>
  <c r="I21" i="1" s="1"/>
  <c r="E50" i="1"/>
  <c r="F50" i="1" s="1"/>
  <c r="U50" i="1" s="1"/>
  <c r="E42" i="1"/>
  <c r="F42" i="1"/>
  <c r="G42" i="1" s="1"/>
  <c r="K42" i="1" s="1"/>
  <c r="E34" i="1"/>
  <c r="F34" i="1"/>
  <c r="G34" i="1" s="1"/>
  <c r="I34" i="1" s="1"/>
  <c r="E26" i="1"/>
  <c r="F26" i="1"/>
  <c r="G26" i="1" s="1"/>
  <c r="I26" i="1" s="1"/>
  <c r="E47" i="1"/>
  <c r="E37" i="2" s="1"/>
  <c r="F47" i="1"/>
  <c r="G47" i="1" s="1"/>
  <c r="I47" i="1" s="1"/>
  <c r="E39" i="1"/>
  <c r="F39" i="1"/>
  <c r="G39" i="1" s="1"/>
  <c r="I39" i="1" s="1"/>
  <c r="E31" i="1"/>
  <c r="F31" i="1" s="1"/>
  <c r="G31" i="1" s="1"/>
  <c r="I31" i="1" s="1"/>
  <c r="E23" i="1"/>
  <c r="F23" i="1" s="1"/>
  <c r="G23" i="1" s="1"/>
  <c r="I23" i="1" s="1"/>
  <c r="E44" i="1"/>
  <c r="F44" i="1" s="1"/>
  <c r="G44" i="1" s="1"/>
  <c r="I44" i="1" s="1"/>
  <c r="E36" i="1"/>
  <c r="F36" i="1" s="1"/>
  <c r="G36" i="1" s="1"/>
  <c r="I36" i="1" s="1"/>
  <c r="E28" i="1"/>
  <c r="F28" i="1" s="1"/>
  <c r="G28" i="1" s="1"/>
  <c r="I28" i="1" s="1"/>
  <c r="E51" i="1"/>
  <c r="F51" i="1" s="1"/>
  <c r="G51" i="1" s="1"/>
  <c r="K51" i="1" s="1"/>
  <c r="E49" i="1"/>
  <c r="E39" i="2" s="1"/>
  <c r="E41" i="1"/>
  <c r="F41" i="1" s="1"/>
  <c r="G41" i="1" s="1"/>
  <c r="I41" i="1" s="1"/>
  <c r="E33" i="1"/>
  <c r="F33" i="1" s="1"/>
  <c r="G33" i="1" s="1"/>
  <c r="I33" i="1" s="1"/>
  <c r="E25" i="1"/>
  <c r="E46" i="1"/>
  <c r="E36" i="2" s="1"/>
  <c r="F46" i="1"/>
  <c r="G46" i="1" s="1"/>
  <c r="I46" i="1" s="1"/>
  <c r="E38" i="1"/>
  <c r="F38" i="1"/>
  <c r="G38" i="1" s="1"/>
  <c r="I38" i="1" s="1"/>
  <c r="E30" i="1"/>
  <c r="E23" i="2" s="1"/>
  <c r="F30" i="1"/>
  <c r="G30" i="1" s="1"/>
  <c r="I30" i="1" s="1"/>
  <c r="E22" i="1"/>
  <c r="F22" i="1"/>
  <c r="G22" i="1" s="1"/>
  <c r="I22" i="1" s="1"/>
  <c r="E43" i="1"/>
  <c r="F43" i="1"/>
  <c r="U43" i="1" s="1"/>
  <c r="E35" i="1"/>
  <c r="F35" i="1" s="1"/>
  <c r="G35" i="1" s="1"/>
  <c r="I35" i="1" s="1"/>
  <c r="E27" i="1"/>
  <c r="F27" i="1" s="1"/>
  <c r="G27" i="1" s="1"/>
  <c r="I27" i="1" s="1"/>
  <c r="E15" i="2"/>
  <c r="E12" i="2"/>
  <c r="E32" i="2"/>
  <c r="E34" i="2"/>
  <c r="E22" i="2"/>
  <c r="E31" i="2"/>
  <c r="E18" i="2"/>
  <c r="F25" i="1"/>
  <c r="G25" i="1"/>
  <c r="I25" i="1" s="1"/>
  <c r="E25" i="2"/>
  <c r="E13" i="2"/>
  <c r="E33" i="2"/>
  <c r="E27" i="2"/>
  <c r="E20" i="2"/>
  <c r="E14" i="2"/>
  <c r="E11" i="2"/>
  <c r="E21" i="2"/>
  <c r="E28" i="2"/>
  <c r="E16" i="2"/>
  <c r="E29" i="2" l="1"/>
  <c r="F45" i="1"/>
  <c r="G45" i="1" s="1"/>
  <c r="E26" i="2"/>
  <c r="E30" i="2"/>
  <c r="E38" i="2"/>
  <c r="E24" i="2"/>
  <c r="F49" i="1"/>
  <c r="G49" i="1" s="1"/>
  <c r="I49" i="1" s="1"/>
  <c r="C12" i="1"/>
  <c r="C11" i="1"/>
  <c r="O31" i="1" l="1"/>
  <c r="O52" i="1"/>
  <c r="O30" i="1"/>
  <c r="O45" i="1"/>
  <c r="O27" i="1"/>
  <c r="O33" i="1"/>
  <c r="O28" i="1"/>
  <c r="C15" i="1"/>
  <c r="C18" i="1" s="1"/>
  <c r="O48" i="1"/>
  <c r="O24" i="1"/>
  <c r="O46" i="1"/>
  <c r="O38" i="1"/>
  <c r="O37" i="1"/>
  <c r="O50" i="1"/>
  <c r="O23" i="1"/>
  <c r="O32" i="1"/>
  <c r="O35" i="1"/>
  <c r="O25" i="1"/>
  <c r="O49" i="1"/>
  <c r="O22" i="1"/>
  <c r="O47" i="1"/>
  <c r="O40" i="1"/>
  <c r="O21" i="1"/>
  <c r="O51" i="1"/>
  <c r="O41" i="1"/>
  <c r="O26" i="1"/>
  <c r="O43" i="1"/>
  <c r="O44" i="1"/>
  <c r="O29" i="1"/>
  <c r="O39" i="1"/>
  <c r="O34" i="1"/>
  <c r="O36" i="1"/>
  <c r="O42" i="1"/>
  <c r="C16" i="1"/>
  <c r="D18" i="1" s="1"/>
  <c r="I45" i="1"/>
  <c r="F18" i="1" l="1"/>
  <c r="F19" i="1" s="1"/>
</calcChain>
</file>

<file path=xl/sharedStrings.xml><?xml version="1.0" encoding="utf-8"?>
<sst xmlns="http://schemas.openxmlformats.org/spreadsheetml/2006/main" count="364" uniqueCount="165">
  <si>
    <t>IBVS 6244</t>
  </si>
  <si>
    <t>BAD?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</si>
  <si>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</si>
  <si>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</si>
  <si>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</si>
  <si>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</si>
  <si>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</si>
  <si>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</si>
  <si>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</si>
  <si>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</si>
  <si>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</si>
  <si>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</si>
  <si>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</si>
  <si>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</si>
  <si>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</si>
  <si>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</si>
  <si>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</si>
  <si>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</si>
  <si>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</si>
  <si>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</si>
  <si>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</si>
  <si>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</si>
  <si>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</si>
  <si>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</si>
  <si>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</si>
  <si>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</si>
  <si>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</si>
  <si>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</si>
  <si>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</si>
  <si>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</si>
  <si>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</si>
  <si>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</si>
  <si>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</si>
  <si>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</si>
  <si>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</si>
  <si>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</si>
  <si>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</si>
  <si>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</si>
  <si>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</si>
  <si>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V1011 Cyg / GSC 2677-1203               </t>
  </si>
  <si>
    <t>EA/D</t>
  </si>
  <si>
    <t>IBVS 5809</t>
  </si>
  <si>
    <t>IBVS 6070</t>
  </si>
  <si>
    <t>II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</si>
  <si>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</si>
  <si>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</si>
  <si>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</si>
  <si>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</si>
  <si>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</si>
  <si>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</si>
  <si>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</si>
  <si>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</si>
  <si>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</si>
  <si>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</si>
  <si>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</si>
  <si>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</si>
  <si>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</si>
  <si>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</si>
  <si>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2428308.540 </t>
  </si>
  <si>
    <t> 20.05.1936 00:57 </t>
  </si>
  <si>
    <t> 0.036 </t>
  </si>
  <si>
    <t>P </t>
  </si>
  <si>
    <t> A.A.Wachmann </t>
  </si>
  <si>
    <t> AHSB 6.1.58 </t>
  </si>
  <si>
    <t>2428428.370 </t>
  </si>
  <si>
    <t> 16.09.1936 20:52 </t>
  </si>
  <si>
    <t> 0.010 </t>
  </si>
  <si>
    <t>2428635.680 </t>
  </si>
  <si>
    <t> 12.04.1937 04:19 </t>
  </si>
  <si>
    <t> -0.000 </t>
  </si>
  <si>
    <t>2428781.425 </t>
  </si>
  <si>
    <t> 04.09.1937 22:12 </t>
  </si>
  <si>
    <t> -0.027 </t>
  </si>
  <si>
    <t>2428807.350 </t>
  </si>
  <si>
    <t> 30.09.1937 20:24 </t>
  </si>
  <si>
    <t> -0.017 </t>
  </si>
  <si>
    <t>2428859.215 </t>
  </si>
  <si>
    <t> 21.11.1937 17:09 </t>
  </si>
  <si>
    <t> 0.018 </t>
  </si>
  <si>
    <t>2429160.410 </t>
  </si>
  <si>
    <t> 18.09.1938 21:50 </t>
  </si>
  <si>
    <t> -0.048 </t>
  </si>
  <si>
    <t>2432905.215 </t>
  </si>
  <si>
    <t> 19.12.1948 17:09 </t>
  </si>
  <si>
    <t> 0.044 </t>
  </si>
  <si>
    <t>2433504.475 </t>
  </si>
  <si>
    <t> 10.08.1950 23:24 </t>
  </si>
  <si>
    <t> 0.021 </t>
  </si>
  <si>
    <t>2433922.335 </t>
  </si>
  <si>
    <t> 02.10.1951 20:02 </t>
  </si>
  <si>
    <t> 0.002 </t>
  </si>
  <si>
    <t>2434602.600 </t>
  </si>
  <si>
    <t> 13.08.1953 02:24 </t>
  </si>
  <si>
    <t> -0.001 </t>
  </si>
  <si>
    <t>2434628.525 </t>
  </si>
  <si>
    <t> 08.09.1953 00:36 </t>
  </si>
  <si>
    <t> 0.009 </t>
  </si>
  <si>
    <t>2434706.250 </t>
  </si>
  <si>
    <t> 24.11.1953 18:00 </t>
  </si>
  <si>
    <t> -0.011 </t>
  </si>
  <si>
    <t>2434981.575 </t>
  </si>
  <si>
    <t> 27.08.1954 01:48 </t>
  </si>
  <si>
    <t> -0.032 </t>
  </si>
  <si>
    <t>2435020.490 </t>
  </si>
  <si>
    <t> 04.10.1954 23:45 </t>
  </si>
  <si>
    <t>2435344.410 </t>
  </si>
  <si>
    <t> 24.08.1955 21:50 </t>
  </si>
  <si>
    <t> -0.007 </t>
  </si>
  <si>
    <t>2435370.315 </t>
  </si>
  <si>
    <t> 19.09.1955 19:33 </t>
  </si>
  <si>
    <t>2435399.480 </t>
  </si>
  <si>
    <t> 18.10.1955 23:31 </t>
  </si>
  <si>
    <t> -0.006 </t>
  </si>
  <si>
    <t>2452607.071 </t>
  </si>
  <si>
    <t> 28.11.2002 13:42 </t>
  </si>
  <si>
    <t> 0.048 </t>
  </si>
  <si>
    <t>C </t>
  </si>
  <si>
    <t> P.Sobotka (ESA INTEGRAL) </t>
  </si>
  <si>
    <t>IBVS 5809 </t>
  </si>
  <si>
    <t>2452610.308 </t>
  </si>
  <si>
    <t> 01.12.2002 19:23 </t>
  </si>
  <si>
    <t> 0.046 </t>
  </si>
  <si>
    <t>2452613.5486 </t>
  </si>
  <si>
    <t> 05.12.2002 01:09 </t>
  </si>
  <si>
    <t> 0.0472 </t>
  </si>
  <si>
    <t>2453342.442 </t>
  </si>
  <si>
    <t> 02.12.2004 22:36 </t>
  </si>
  <si>
    <t> 0.082 </t>
  </si>
  <si>
    <t>2454649.4842 </t>
  </si>
  <si>
    <t> 01.07.2008 23:37 </t>
  </si>
  <si>
    <t> 0.0384 </t>
  </si>
  <si>
    <t>-I</t>
  </si>
  <si>
    <t> P.Frank </t>
  </si>
  <si>
    <t>BAVM 203 </t>
  </si>
  <si>
    <t>2454696.4608 </t>
  </si>
  <si>
    <t> 17.08.2008 23:03 </t>
  </si>
  <si>
    <t>6413</t>
  </si>
  <si>
    <t> 0.0441 </t>
  </si>
  <si>
    <t> F.Agerer </t>
  </si>
  <si>
    <t>2455049.5452 </t>
  </si>
  <si>
    <t> 06.08.2009 01:05 </t>
  </si>
  <si>
    <t>6522</t>
  </si>
  <si>
    <t> 0.0371 </t>
  </si>
  <si>
    <t>o</t>
  </si>
  <si>
    <t> U.Schmidt </t>
  </si>
  <si>
    <t>BAVM 212 </t>
  </si>
  <si>
    <t>2455075.4612 </t>
  </si>
  <si>
    <t> 31.08.2009 23:04 </t>
  </si>
  <si>
    <t>6530</t>
  </si>
  <si>
    <t> 0.0382 </t>
  </si>
  <si>
    <t>2455794.6075 </t>
  </si>
  <si>
    <t> 21.08.2011 02:34 </t>
  </si>
  <si>
    <t>6752</t>
  </si>
  <si>
    <t> 0.0442 </t>
  </si>
  <si>
    <t>BAVM 225 </t>
  </si>
  <si>
    <t>2455833.4810 </t>
  </si>
  <si>
    <t> 28.09.2011 23:32 </t>
  </si>
  <si>
    <t>6764</t>
  </si>
  <si>
    <t> 0.0453 </t>
  </si>
  <si>
    <t>2456152.5860 </t>
  </si>
  <si>
    <t> 13.08.2012 02:03 </t>
  </si>
  <si>
    <t>6862.5</t>
  </si>
  <si>
    <t> 0.0723 </t>
  </si>
  <si>
    <t>BAVM 231 </t>
  </si>
  <si>
    <t>Checked by ToMcat 2016-09-03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</si>
</sst>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left" wrapText="1"/>
    </xf>
    <xf numFmtId="0" fontId="36" fillId="0" borderId="8" xfId="0" applyFont="1" applyBorder="1" applyAlignment="1">
      <alignment horizontal="center"/>
    </xf>
    <xf numFmtId="0" fontId="35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V1011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5.5999999999999999E-3</c:v>
                  </c:pt>
                  <c:pt idx="30">
                    <c:v>8.0000000000000004E-4</c:v>
                  </c:pt>
                  <c:pt idx="31">
                    <c:v>2.8E-3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5.5999999999999999E-3</c:v>
                  </c:pt>
                  <c:pt idx="30">
                    <c:v>8.0000000000000004E-4</c:v>
                  </c:pt>
                  <c:pt idx="3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-7468</c:v>
                </c:pt>
                <c:pt idx="1">
                  <c:v>-7431</c:v>
                </c:pt>
                <c:pt idx="2">
                  <c:v>-7367</c:v>
                </c:pt>
                <c:pt idx="3">
                  <c:v>-7322</c:v>
                </c:pt>
                <c:pt idx="4">
                  <c:v>-7314</c:v>
                </c:pt>
                <c:pt idx="5">
                  <c:v>-7298</c:v>
                </c:pt>
                <c:pt idx="6">
                  <c:v>-7205</c:v>
                </c:pt>
                <c:pt idx="7">
                  <c:v>-6049</c:v>
                </c:pt>
                <c:pt idx="8">
                  <c:v>-5864</c:v>
                </c:pt>
                <c:pt idx="9">
                  <c:v>-5735</c:v>
                </c:pt>
                <c:pt idx="10">
                  <c:v>-5525</c:v>
                </c:pt>
                <c:pt idx="11">
                  <c:v>-5517</c:v>
                </c:pt>
                <c:pt idx="12">
                  <c:v>-5493</c:v>
                </c:pt>
                <c:pt idx="13">
                  <c:v>-5408</c:v>
                </c:pt>
                <c:pt idx="14">
                  <c:v>-5396</c:v>
                </c:pt>
                <c:pt idx="15">
                  <c:v>-5296</c:v>
                </c:pt>
                <c:pt idx="16">
                  <c:v>-5288</c:v>
                </c:pt>
                <c:pt idx="17">
                  <c:v>-5279</c:v>
                </c:pt>
                <c:pt idx="18">
                  <c:v>0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260</c:v>
                </c:pt>
                <c:pt idx="23">
                  <c:v>663.5</c:v>
                </c:pt>
                <c:pt idx="24">
                  <c:v>678</c:v>
                </c:pt>
                <c:pt idx="25">
                  <c:v>787</c:v>
                </c:pt>
                <c:pt idx="26">
                  <c:v>795</c:v>
                </c:pt>
                <c:pt idx="27">
                  <c:v>1017</c:v>
                </c:pt>
                <c:pt idx="28">
                  <c:v>1029</c:v>
                </c:pt>
                <c:pt idx="29">
                  <c:v>1127.5</c:v>
                </c:pt>
                <c:pt idx="30">
                  <c:v>1568</c:v>
                </c:pt>
                <c:pt idx="31">
                  <c:v>1674.5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A1-4B6E-8787-E9212DB94B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5.5999999999999999E-3</c:v>
                  </c:pt>
                  <c:pt idx="30">
                    <c:v>8.0000000000000004E-4</c:v>
                  </c:pt>
                  <c:pt idx="31">
                    <c:v>2.8E-3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5.5999999999999999E-3</c:v>
                  </c:pt>
                  <c:pt idx="30">
                    <c:v>8.0000000000000004E-4</c:v>
                  </c:pt>
                  <c:pt idx="3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-7468</c:v>
                </c:pt>
                <c:pt idx="1">
                  <c:v>-7431</c:v>
                </c:pt>
                <c:pt idx="2">
                  <c:v>-7367</c:v>
                </c:pt>
                <c:pt idx="3">
                  <c:v>-7322</c:v>
                </c:pt>
                <c:pt idx="4">
                  <c:v>-7314</c:v>
                </c:pt>
                <c:pt idx="5">
                  <c:v>-7298</c:v>
                </c:pt>
                <c:pt idx="6">
                  <c:v>-7205</c:v>
                </c:pt>
                <c:pt idx="7">
                  <c:v>-6049</c:v>
                </c:pt>
                <c:pt idx="8">
                  <c:v>-5864</c:v>
                </c:pt>
                <c:pt idx="9">
                  <c:v>-5735</c:v>
                </c:pt>
                <c:pt idx="10">
                  <c:v>-5525</c:v>
                </c:pt>
                <c:pt idx="11">
                  <c:v>-5517</c:v>
                </c:pt>
                <c:pt idx="12">
                  <c:v>-5493</c:v>
                </c:pt>
                <c:pt idx="13">
                  <c:v>-5408</c:v>
                </c:pt>
                <c:pt idx="14">
                  <c:v>-5396</c:v>
                </c:pt>
                <c:pt idx="15">
                  <c:v>-5296</c:v>
                </c:pt>
                <c:pt idx="16">
                  <c:v>-5288</c:v>
                </c:pt>
                <c:pt idx="17">
                  <c:v>-5279</c:v>
                </c:pt>
                <c:pt idx="18">
                  <c:v>0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260</c:v>
                </c:pt>
                <c:pt idx="23">
                  <c:v>663.5</c:v>
                </c:pt>
                <c:pt idx="24">
                  <c:v>678</c:v>
                </c:pt>
                <c:pt idx="25">
                  <c:v>787</c:v>
                </c:pt>
                <c:pt idx="26">
                  <c:v>795</c:v>
                </c:pt>
                <c:pt idx="27">
                  <c:v>1017</c:v>
                </c:pt>
                <c:pt idx="28">
                  <c:v>1029</c:v>
                </c:pt>
                <c:pt idx="29">
                  <c:v>1127.5</c:v>
                </c:pt>
                <c:pt idx="30">
                  <c:v>1568</c:v>
                </c:pt>
                <c:pt idx="31">
                  <c:v>1674.5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4.6372000000701519E-2</c:v>
                </c:pt>
                <c:pt idx="1">
                  <c:v>1.9348999998328509E-2</c:v>
                </c:pt>
                <c:pt idx="2">
                  <c:v>9.0930000005755574E-3</c:v>
                </c:pt>
                <c:pt idx="3">
                  <c:v>-1.796200000171666E-2</c:v>
                </c:pt>
                <c:pt idx="4">
                  <c:v>-7.9939999995986E-3</c:v>
                </c:pt>
                <c:pt idx="5">
                  <c:v>2.6942000000417465E-2</c:v>
                </c:pt>
                <c:pt idx="6">
                  <c:v>-4.0304999998625135E-2</c:v>
                </c:pt>
                <c:pt idx="7">
                  <c:v>4.257099999813363E-2</c:v>
                </c:pt>
                <c:pt idx="8">
                  <c:v>1.7455999994126614E-2</c:v>
                </c:pt>
                <c:pt idx="9">
                  <c:v>-2.4349999948753975E-3</c:v>
                </c:pt>
                <c:pt idx="10">
                  <c:v>-7.0250000062515028E-3</c:v>
                </c:pt>
                <c:pt idx="11">
                  <c:v>2.943000006780494E-3</c:v>
                </c:pt>
                <c:pt idx="12">
                  <c:v>-1.7153000000689644E-2</c:v>
                </c:pt>
                <c:pt idx="13">
                  <c:v>-3.9367999997921288E-2</c:v>
                </c:pt>
                <c:pt idx="14">
                  <c:v>3.0840000035823323E-3</c:v>
                </c:pt>
                <c:pt idx="15">
                  <c:v>-1.4815999995335005E-2</c:v>
                </c:pt>
                <c:pt idx="16">
                  <c:v>-2.484800000092946E-2</c:v>
                </c:pt>
                <c:pt idx="17">
                  <c:v>-1.4258999995945487E-2</c:v>
                </c:pt>
                <c:pt idx="18">
                  <c:v>0</c:v>
                </c:pt>
                <c:pt idx="19">
                  <c:v>-4.5069999978295527E-3</c:v>
                </c:pt>
                <c:pt idx="20">
                  <c:v>-6.8860000028507784E-3</c:v>
                </c:pt>
                <c:pt idx="23">
                  <c:v>-1.9766500001423992E-2</c:v>
                </c:pt>
                <c:pt idx="24">
                  <c:v>-1.4161999999487307E-2</c:v>
                </c:pt>
                <c:pt idx="25">
                  <c:v>-2.207300000009127E-2</c:v>
                </c:pt>
                <c:pt idx="26">
                  <c:v>-2.1104999999806751E-2</c:v>
                </c:pt>
                <c:pt idx="27">
                  <c:v>-1.6943000002356712E-2</c:v>
                </c:pt>
                <c:pt idx="28">
                  <c:v>-1.5991000000212807E-2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A1-4B6E-8787-E9212DB94B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5.5999999999999999E-3</c:v>
                  </c:pt>
                  <c:pt idx="30">
                    <c:v>8.0000000000000004E-4</c:v>
                  </c:pt>
                  <c:pt idx="31">
                    <c:v>2.8E-3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5.5999999999999999E-3</c:v>
                  </c:pt>
                  <c:pt idx="30">
                    <c:v>8.0000000000000004E-4</c:v>
                  </c:pt>
                  <c:pt idx="3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-7468</c:v>
                </c:pt>
                <c:pt idx="1">
                  <c:v>-7431</c:v>
                </c:pt>
                <c:pt idx="2">
                  <c:v>-7367</c:v>
                </c:pt>
                <c:pt idx="3">
                  <c:v>-7322</c:v>
                </c:pt>
                <c:pt idx="4">
                  <c:v>-7314</c:v>
                </c:pt>
                <c:pt idx="5">
                  <c:v>-7298</c:v>
                </c:pt>
                <c:pt idx="6">
                  <c:v>-7205</c:v>
                </c:pt>
                <c:pt idx="7">
                  <c:v>-6049</c:v>
                </c:pt>
                <c:pt idx="8">
                  <c:v>-5864</c:v>
                </c:pt>
                <c:pt idx="9">
                  <c:v>-5735</c:v>
                </c:pt>
                <c:pt idx="10">
                  <c:v>-5525</c:v>
                </c:pt>
                <c:pt idx="11">
                  <c:v>-5517</c:v>
                </c:pt>
                <c:pt idx="12">
                  <c:v>-5493</c:v>
                </c:pt>
                <c:pt idx="13">
                  <c:v>-5408</c:v>
                </c:pt>
                <c:pt idx="14">
                  <c:v>-5396</c:v>
                </c:pt>
                <c:pt idx="15">
                  <c:v>-5296</c:v>
                </c:pt>
                <c:pt idx="16">
                  <c:v>-5288</c:v>
                </c:pt>
                <c:pt idx="17">
                  <c:v>-5279</c:v>
                </c:pt>
                <c:pt idx="18">
                  <c:v>0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260</c:v>
                </c:pt>
                <c:pt idx="23">
                  <c:v>663.5</c:v>
                </c:pt>
                <c:pt idx="24">
                  <c:v>678</c:v>
                </c:pt>
                <c:pt idx="25">
                  <c:v>787</c:v>
                </c:pt>
                <c:pt idx="26">
                  <c:v>795</c:v>
                </c:pt>
                <c:pt idx="27">
                  <c:v>1017</c:v>
                </c:pt>
                <c:pt idx="28">
                  <c:v>1029</c:v>
                </c:pt>
                <c:pt idx="29">
                  <c:v>1127.5</c:v>
                </c:pt>
                <c:pt idx="30">
                  <c:v>1568</c:v>
                </c:pt>
                <c:pt idx="31">
                  <c:v>1674.5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A1-4B6E-8787-E9212DB94B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5.5999999999999999E-3</c:v>
                  </c:pt>
                  <c:pt idx="30">
                    <c:v>8.0000000000000004E-4</c:v>
                  </c:pt>
                  <c:pt idx="31">
                    <c:v>2.8E-3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5.5999999999999999E-3</c:v>
                  </c:pt>
                  <c:pt idx="30">
                    <c:v>8.0000000000000004E-4</c:v>
                  </c:pt>
                  <c:pt idx="3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-7468</c:v>
                </c:pt>
                <c:pt idx="1">
                  <c:v>-7431</c:v>
                </c:pt>
                <c:pt idx="2">
                  <c:v>-7367</c:v>
                </c:pt>
                <c:pt idx="3">
                  <c:v>-7322</c:v>
                </c:pt>
                <c:pt idx="4">
                  <c:v>-7314</c:v>
                </c:pt>
                <c:pt idx="5">
                  <c:v>-7298</c:v>
                </c:pt>
                <c:pt idx="6">
                  <c:v>-7205</c:v>
                </c:pt>
                <c:pt idx="7">
                  <c:v>-6049</c:v>
                </c:pt>
                <c:pt idx="8">
                  <c:v>-5864</c:v>
                </c:pt>
                <c:pt idx="9">
                  <c:v>-5735</c:v>
                </c:pt>
                <c:pt idx="10">
                  <c:v>-5525</c:v>
                </c:pt>
                <c:pt idx="11">
                  <c:v>-5517</c:v>
                </c:pt>
                <c:pt idx="12">
                  <c:v>-5493</c:v>
                </c:pt>
                <c:pt idx="13">
                  <c:v>-5408</c:v>
                </c:pt>
                <c:pt idx="14">
                  <c:v>-5396</c:v>
                </c:pt>
                <c:pt idx="15">
                  <c:v>-5296</c:v>
                </c:pt>
                <c:pt idx="16">
                  <c:v>-5288</c:v>
                </c:pt>
                <c:pt idx="17">
                  <c:v>-5279</c:v>
                </c:pt>
                <c:pt idx="18">
                  <c:v>0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260</c:v>
                </c:pt>
                <c:pt idx="23">
                  <c:v>663.5</c:v>
                </c:pt>
                <c:pt idx="24">
                  <c:v>678</c:v>
                </c:pt>
                <c:pt idx="25">
                  <c:v>787</c:v>
                </c:pt>
                <c:pt idx="26">
                  <c:v>795</c:v>
                </c:pt>
                <c:pt idx="27">
                  <c:v>1017</c:v>
                </c:pt>
                <c:pt idx="28">
                  <c:v>1029</c:v>
                </c:pt>
                <c:pt idx="29">
                  <c:v>1127.5</c:v>
                </c:pt>
                <c:pt idx="30">
                  <c:v>1568</c:v>
                </c:pt>
                <c:pt idx="31">
                  <c:v>1674.5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1">
                  <c:v>-5.6649999969522469E-3</c:v>
                </c:pt>
                <c:pt idx="30">
                  <c:v>-1.9372000002476852E-2</c:v>
                </c:pt>
                <c:pt idx="31">
                  <c:v>-2.3235500004375353E-2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A1-4B6E-8787-E9212DB94B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5.5999999999999999E-3</c:v>
                  </c:pt>
                  <c:pt idx="30">
                    <c:v>8.0000000000000004E-4</c:v>
                  </c:pt>
                  <c:pt idx="31">
                    <c:v>2.8E-3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5.5999999999999999E-3</c:v>
                  </c:pt>
                  <c:pt idx="30">
                    <c:v>8.0000000000000004E-4</c:v>
                  </c:pt>
                  <c:pt idx="3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-7468</c:v>
                </c:pt>
                <c:pt idx="1">
                  <c:v>-7431</c:v>
                </c:pt>
                <c:pt idx="2">
                  <c:v>-7367</c:v>
                </c:pt>
                <c:pt idx="3">
                  <c:v>-7322</c:v>
                </c:pt>
                <c:pt idx="4">
                  <c:v>-7314</c:v>
                </c:pt>
                <c:pt idx="5">
                  <c:v>-7298</c:v>
                </c:pt>
                <c:pt idx="6">
                  <c:v>-7205</c:v>
                </c:pt>
                <c:pt idx="7">
                  <c:v>-6049</c:v>
                </c:pt>
                <c:pt idx="8">
                  <c:v>-5864</c:v>
                </c:pt>
                <c:pt idx="9">
                  <c:v>-5735</c:v>
                </c:pt>
                <c:pt idx="10">
                  <c:v>-5525</c:v>
                </c:pt>
                <c:pt idx="11">
                  <c:v>-5517</c:v>
                </c:pt>
                <c:pt idx="12">
                  <c:v>-5493</c:v>
                </c:pt>
                <c:pt idx="13">
                  <c:v>-5408</c:v>
                </c:pt>
                <c:pt idx="14">
                  <c:v>-5396</c:v>
                </c:pt>
                <c:pt idx="15">
                  <c:v>-5296</c:v>
                </c:pt>
                <c:pt idx="16">
                  <c:v>-5288</c:v>
                </c:pt>
                <c:pt idx="17">
                  <c:v>-5279</c:v>
                </c:pt>
                <c:pt idx="18">
                  <c:v>0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260</c:v>
                </c:pt>
                <c:pt idx="23">
                  <c:v>663.5</c:v>
                </c:pt>
                <c:pt idx="24">
                  <c:v>678</c:v>
                </c:pt>
                <c:pt idx="25">
                  <c:v>787</c:v>
                </c:pt>
                <c:pt idx="26">
                  <c:v>795</c:v>
                </c:pt>
                <c:pt idx="27">
                  <c:v>1017</c:v>
                </c:pt>
                <c:pt idx="28">
                  <c:v>1029</c:v>
                </c:pt>
                <c:pt idx="29">
                  <c:v>1127.5</c:v>
                </c:pt>
                <c:pt idx="30">
                  <c:v>1568</c:v>
                </c:pt>
                <c:pt idx="31">
                  <c:v>1674.5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A1-4B6E-8787-E9212DB94B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5.5999999999999999E-3</c:v>
                  </c:pt>
                  <c:pt idx="30">
                    <c:v>8.0000000000000004E-4</c:v>
                  </c:pt>
                  <c:pt idx="31">
                    <c:v>2.8E-3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5.5999999999999999E-3</c:v>
                  </c:pt>
                  <c:pt idx="30">
                    <c:v>8.0000000000000004E-4</c:v>
                  </c:pt>
                  <c:pt idx="3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-7468</c:v>
                </c:pt>
                <c:pt idx="1">
                  <c:v>-7431</c:v>
                </c:pt>
                <c:pt idx="2">
                  <c:v>-7367</c:v>
                </c:pt>
                <c:pt idx="3">
                  <c:v>-7322</c:v>
                </c:pt>
                <c:pt idx="4">
                  <c:v>-7314</c:v>
                </c:pt>
                <c:pt idx="5">
                  <c:v>-7298</c:v>
                </c:pt>
                <c:pt idx="6">
                  <c:v>-7205</c:v>
                </c:pt>
                <c:pt idx="7">
                  <c:v>-6049</c:v>
                </c:pt>
                <c:pt idx="8">
                  <c:v>-5864</c:v>
                </c:pt>
                <c:pt idx="9">
                  <c:v>-5735</c:v>
                </c:pt>
                <c:pt idx="10">
                  <c:v>-5525</c:v>
                </c:pt>
                <c:pt idx="11">
                  <c:v>-5517</c:v>
                </c:pt>
                <c:pt idx="12">
                  <c:v>-5493</c:v>
                </c:pt>
                <c:pt idx="13">
                  <c:v>-5408</c:v>
                </c:pt>
                <c:pt idx="14">
                  <c:v>-5396</c:v>
                </c:pt>
                <c:pt idx="15">
                  <c:v>-5296</c:v>
                </c:pt>
                <c:pt idx="16">
                  <c:v>-5288</c:v>
                </c:pt>
                <c:pt idx="17">
                  <c:v>-5279</c:v>
                </c:pt>
                <c:pt idx="18">
                  <c:v>0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260</c:v>
                </c:pt>
                <c:pt idx="23">
                  <c:v>663.5</c:v>
                </c:pt>
                <c:pt idx="24">
                  <c:v>678</c:v>
                </c:pt>
                <c:pt idx="25">
                  <c:v>787</c:v>
                </c:pt>
                <c:pt idx="26">
                  <c:v>795</c:v>
                </c:pt>
                <c:pt idx="27">
                  <c:v>1017</c:v>
                </c:pt>
                <c:pt idx="28">
                  <c:v>1029</c:v>
                </c:pt>
                <c:pt idx="29">
                  <c:v>1127.5</c:v>
                </c:pt>
                <c:pt idx="30">
                  <c:v>1568</c:v>
                </c:pt>
                <c:pt idx="31">
                  <c:v>1674.5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A1-4B6E-8787-E9212DB94B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5.5999999999999999E-3</c:v>
                  </c:pt>
                  <c:pt idx="30">
                    <c:v>8.0000000000000004E-4</c:v>
                  </c:pt>
                  <c:pt idx="31">
                    <c:v>2.8E-3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5.5999999999999999E-3</c:v>
                  </c:pt>
                  <c:pt idx="30">
                    <c:v>8.0000000000000004E-4</c:v>
                  </c:pt>
                  <c:pt idx="3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-7468</c:v>
                </c:pt>
                <c:pt idx="1">
                  <c:v>-7431</c:v>
                </c:pt>
                <c:pt idx="2">
                  <c:v>-7367</c:v>
                </c:pt>
                <c:pt idx="3">
                  <c:v>-7322</c:v>
                </c:pt>
                <c:pt idx="4">
                  <c:v>-7314</c:v>
                </c:pt>
                <c:pt idx="5">
                  <c:v>-7298</c:v>
                </c:pt>
                <c:pt idx="6">
                  <c:v>-7205</c:v>
                </c:pt>
                <c:pt idx="7">
                  <c:v>-6049</c:v>
                </c:pt>
                <c:pt idx="8">
                  <c:v>-5864</c:v>
                </c:pt>
                <c:pt idx="9">
                  <c:v>-5735</c:v>
                </c:pt>
                <c:pt idx="10">
                  <c:v>-5525</c:v>
                </c:pt>
                <c:pt idx="11">
                  <c:v>-5517</c:v>
                </c:pt>
                <c:pt idx="12">
                  <c:v>-5493</c:v>
                </c:pt>
                <c:pt idx="13">
                  <c:v>-5408</c:v>
                </c:pt>
                <c:pt idx="14">
                  <c:v>-5396</c:v>
                </c:pt>
                <c:pt idx="15">
                  <c:v>-5296</c:v>
                </c:pt>
                <c:pt idx="16">
                  <c:v>-5288</c:v>
                </c:pt>
                <c:pt idx="17">
                  <c:v>-5279</c:v>
                </c:pt>
                <c:pt idx="18">
                  <c:v>0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260</c:v>
                </c:pt>
                <c:pt idx="23">
                  <c:v>663.5</c:v>
                </c:pt>
                <c:pt idx="24">
                  <c:v>678</c:v>
                </c:pt>
                <c:pt idx="25">
                  <c:v>787</c:v>
                </c:pt>
                <c:pt idx="26">
                  <c:v>795</c:v>
                </c:pt>
                <c:pt idx="27">
                  <c:v>1017</c:v>
                </c:pt>
                <c:pt idx="28">
                  <c:v>1029</c:v>
                </c:pt>
                <c:pt idx="29">
                  <c:v>1127.5</c:v>
                </c:pt>
                <c:pt idx="30">
                  <c:v>1568</c:v>
                </c:pt>
                <c:pt idx="31">
                  <c:v>1674.5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A1-4B6E-8787-E9212DB94B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-7468</c:v>
                </c:pt>
                <c:pt idx="1">
                  <c:v>-7431</c:v>
                </c:pt>
                <c:pt idx="2">
                  <c:v>-7367</c:v>
                </c:pt>
                <c:pt idx="3">
                  <c:v>-7322</c:v>
                </c:pt>
                <c:pt idx="4">
                  <c:v>-7314</c:v>
                </c:pt>
                <c:pt idx="5">
                  <c:v>-7298</c:v>
                </c:pt>
                <c:pt idx="6">
                  <c:v>-7205</c:v>
                </c:pt>
                <c:pt idx="7">
                  <c:v>-6049</c:v>
                </c:pt>
                <c:pt idx="8">
                  <c:v>-5864</c:v>
                </c:pt>
                <c:pt idx="9">
                  <c:v>-5735</c:v>
                </c:pt>
                <c:pt idx="10">
                  <c:v>-5525</c:v>
                </c:pt>
                <c:pt idx="11">
                  <c:v>-5517</c:v>
                </c:pt>
                <c:pt idx="12">
                  <c:v>-5493</c:v>
                </c:pt>
                <c:pt idx="13">
                  <c:v>-5408</c:v>
                </c:pt>
                <c:pt idx="14">
                  <c:v>-5396</c:v>
                </c:pt>
                <c:pt idx="15">
                  <c:v>-5296</c:v>
                </c:pt>
                <c:pt idx="16">
                  <c:v>-5288</c:v>
                </c:pt>
                <c:pt idx="17">
                  <c:v>-5279</c:v>
                </c:pt>
                <c:pt idx="18">
                  <c:v>0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260</c:v>
                </c:pt>
                <c:pt idx="23">
                  <c:v>663.5</c:v>
                </c:pt>
                <c:pt idx="24">
                  <c:v>678</c:v>
                </c:pt>
                <c:pt idx="25">
                  <c:v>787</c:v>
                </c:pt>
                <c:pt idx="26">
                  <c:v>795</c:v>
                </c:pt>
                <c:pt idx="27">
                  <c:v>1017</c:v>
                </c:pt>
                <c:pt idx="28">
                  <c:v>1029</c:v>
                </c:pt>
                <c:pt idx="29">
                  <c:v>1127.5</c:v>
                </c:pt>
                <c:pt idx="30">
                  <c:v>1568</c:v>
                </c:pt>
                <c:pt idx="31">
                  <c:v>1674.5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7.9078137209642532E-2</c:v>
                </c:pt>
                <c:pt idx="1">
                  <c:v>7.865549026875239E-2</c:v>
                </c:pt>
                <c:pt idx="2">
                  <c:v>7.7924425289915375E-2</c:v>
                </c:pt>
                <c:pt idx="3">
                  <c:v>7.7410395226670592E-2</c:v>
                </c:pt>
                <c:pt idx="4">
                  <c:v>7.7319012104315965E-2</c:v>
                </c:pt>
                <c:pt idx="5">
                  <c:v>7.7136245859606711E-2</c:v>
                </c:pt>
                <c:pt idx="6">
                  <c:v>7.6073917062234181E-2</c:v>
                </c:pt>
                <c:pt idx="7">
                  <c:v>6.2869055881990626E-2</c:v>
                </c:pt>
                <c:pt idx="8">
                  <c:v>6.0755821177539887E-2</c:v>
                </c:pt>
                <c:pt idx="9">
                  <c:v>5.9282268329571522E-2</c:v>
                </c:pt>
                <c:pt idx="10">
                  <c:v>5.6883461367762581E-2</c:v>
                </c:pt>
                <c:pt idx="11">
                  <c:v>5.6792078245407954E-2</c:v>
                </c:pt>
                <c:pt idx="12">
                  <c:v>5.6517928878344073E-2</c:v>
                </c:pt>
                <c:pt idx="13">
                  <c:v>5.5546983203326156E-2</c:v>
                </c:pt>
                <c:pt idx="14">
                  <c:v>5.5409908519794215E-2</c:v>
                </c:pt>
                <c:pt idx="15">
                  <c:v>5.426761949036138E-2</c:v>
                </c:pt>
                <c:pt idx="16">
                  <c:v>5.4176236368006753E-2</c:v>
                </c:pt>
                <c:pt idx="17">
                  <c:v>5.4073430355357804E-2</c:v>
                </c:pt>
                <c:pt idx="18">
                  <c:v>-6.2280075084014848E-3</c:v>
                </c:pt>
                <c:pt idx="19">
                  <c:v>-6.6049628881143197E-3</c:v>
                </c:pt>
                <c:pt idx="20">
                  <c:v>-6.6163857784086481E-3</c:v>
                </c:pt>
                <c:pt idx="21">
                  <c:v>-6.6278086687029765E-3</c:v>
                </c:pt>
                <c:pt idx="22">
                  <c:v>-9.1979589849268528E-3</c:v>
                </c:pt>
                <c:pt idx="23">
                  <c:v>-1.3807095218688337E-2</c:v>
                </c:pt>
                <c:pt idx="24">
                  <c:v>-1.3972727127956098E-2</c:v>
                </c:pt>
                <c:pt idx="25">
                  <c:v>-1.5217822170037885E-2</c:v>
                </c:pt>
                <c:pt idx="26">
                  <c:v>-1.5309205292392512E-2</c:v>
                </c:pt>
                <c:pt idx="27">
                  <c:v>-1.7845086937733401E-2</c:v>
                </c:pt>
                <c:pt idx="28">
                  <c:v>-1.7982161621265341E-2</c:v>
                </c:pt>
                <c:pt idx="29">
                  <c:v>-1.9107316315256685E-2</c:v>
                </c:pt>
                <c:pt idx="30">
                  <c:v>-2.4139099489908316E-2</c:v>
                </c:pt>
                <c:pt idx="31">
                  <c:v>-2.5355637306254283E-2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A1-4B6E-8787-E9212DB94B1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Active!$D$21:$D$298</c:f>
                <c:numCache>
                  <c:formatCode>General</c:formatCode>
                  <c:ptCount val="2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5.5999999999999999E-3</c:v>
                  </c:pt>
                  <c:pt idx="30">
                    <c:v>8.0000000000000004E-4</c:v>
                  </c:pt>
                  <c:pt idx="31">
                    <c:v>2.8E-3</c:v>
                  </c:pt>
                </c:numCache>
              </c:numRef>
            </c:plus>
            <c:minus>
              <c:numRef>
                <c:f>Active!$D$21:$D$298</c:f>
                <c:numCache>
                  <c:formatCode>General</c:formatCode>
                  <c:ptCount val="2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4.0000000000000001E-3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5.5999999999999999E-3</c:v>
                  </c:pt>
                  <c:pt idx="30">
                    <c:v>8.0000000000000004E-4</c:v>
                  </c:pt>
                  <c:pt idx="3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-7468</c:v>
                </c:pt>
                <c:pt idx="1">
                  <c:v>-7431</c:v>
                </c:pt>
                <c:pt idx="2">
                  <c:v>-7367</c:v>
                </c:pt>
                <c:pt idx="3">
                  <c:v>-7322</c:v>
                </c:pt>
                <c:pt idx="4">
                  <c:v>-7314</c:v>
                </c:pt>
                <c:pt idx="5">
                  <c:v>-7298</c:v>
                </c:pt>
                <c:pt idx="6">
                  <c:v>-7205</c:v>
                </c:pt>
                <c:pt idx="7">
                  <c:v>-6049</c:v>
                </c:pt>
                <c:pt idx="8">
                  <c:v>-5864</c:v>
                </c:pt>
                <c:pt idx="9">
                  <c:v>-5735</c:v>
                </c:pt>
                <c:pt idx="10">
                  <c:v>-5525</c:v>
                </c:pt>
                <c:pt idx="11">
                  <c:v>-5517</c:v>
                </c:pt>
                <c:pt idx="12">
                  <c:v>-5493</c:v>
                </c:pt>
                <c:pt idx="13">
                  <c:v>-5408</c:v>
                </c:pt>
                <c:pt idx="14">
                  <c:v>-5396</c:v>
                </c:pt>
                <c:pt idx="15">
                  <c:v>-5296</c:v>
                </c:pt>
                <c:pt idx="16">
                  <c:v>-5288</c:v>
                </c:pt>
                <c:pt idx="17">
                  <c:v>-5279</c:v>
                </c:pt>
                <c:pt idx="18">
                  <c:v>0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260</c:v>
                </c:pt>
                <c:pt idx="23">
                  <c:v>663.5</c:v>
                </c:pt>
                <c:pt idx="24">
                  <c:v>678</c:v>
                </c:pt>
                <c:pt idx="25">
                  <c:v>787</c:v>
                </c:pt>
                <c:pt idx="26">
                  <c:v>795</c:v>
                </c:pt>
                <c:pt idx="27">
                  <c:v>1017</c:v>
                </c:pt>
                <c:pt idx="28">
                  <c:v>1029</c:v>
                </c:pt>
                <c:pt idx="29">
                  <c:v>1127.5</c:v>
                </c:pt>
                <c:pt idx="30">
                  <c:v>1568</c:v>
                </c:pt>
                <c:pt idx="31">
                  <c:v>1674.5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22">
                  <c:v>2.7460000004793983E-2</c:v>
                </c:pt>
                <c:pt idx="29">
                  <c:v>1.0177500000281725E-2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A1-4B6E-8787-E9212DB94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358176"/>
        <c:axId val="1"/>
      </c:scatterChart>
      <c:valAx>
        <c:axId val="734358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358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396C4DA-B17C-2406-3203-CA828DCC7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konkoly.hu/cgi-bin/IBVS?5809" TargetMode="External"/><Relationship Id="rId7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5809" TargetMode="External"/><Relationship Id="rId1" Type="http://schemas.openxmlformats.org/officeDocument/2006/relationships/hyperlink" Target="http://www.konkoly.hu/cgi-bin/IBVS?5809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809" TargetMode="External"/><Relationship Id="rId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3"/>
  <sheetViews>
    <sheetView tabSelected="1" workbookViewId="0">
      <pane xSplit="14" ySplit="21" topLeftCell="O35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25</v>
      </c>
      <c r="B2" s="3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38</v>
      </c>
      <c r="C4" s="8">
        <v>52500.175999999999</v>
      </c>
      <c r="D4" s="9">
        <v>3.239379</v>
      </c>
    </row>
    <row r="5" spans="1:6" ht="13.5" thickTop="1" x14ac:dyDescent="0.2">
      <c r="A5" s="11" t="s">
        <v>30</v>
      </c>
      <c r="B5" s="49"/>
      <c r="C5" s="13">
        <v>-9.5</v>
      </c>
      <c r="D5" s="12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>
        <f>C4</f>
        <v>52500.175999999999</v>
      </c>
    </row>
    <row r="8" spans="1:6" x14ac:dyDescent="0.2">
      <c r="A8" t="s">
        <v>5</v>
      </c>
      <c r="C8">
        <f>D4</f>
        <v>3.239379</v>
      </c>
      <c r="D8" s="29" t="s">
        <v>164</v>
      </c>
    </row>
    <row r="9" spans="1:6" x14ac:dyDescent="0.2">
      <c r="A9" s="26" t="s">
        <v>35</v>
      </c>
      <c r="B9" s="27">
        <v>39</v>
      </c>
      <c r="C9" s="24" t="str">
        <f>"F"&amp;B9</f>
        <v>F39</v>
      </c>
      <c r="D9" s="25" t="str">
        <f>"G"&amp;B9</f>
        <v>G39</v>
      </c>
    </row>
    <row r="10" spans="1:6" ht="13.5" thickBot="1" x14ac:dyDescent="0.25">
      <c r="A10" s="12"/>
      <c r="B10" s="49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49"/>
      <c r="C11" s="23">
        <f ca="1">INTERCEPT(INDIRECT($D$9):G975,INDIRECT($C$9):F975)</f>
        <v>-6.2280075084014848E-3</v>
      </c>
      <c r="D11" s="3"/>
      <c r="E11" s="12"/>
    </row>
    <row r="12" spans="1:6" x14ac:dyDescent="0.2">
      <c r="A12" s="12" t="s">
        <v>18</v>
      </c>
      <c r="B12" s="49"/>
      <c r="C12" s="23">
        <f ca="1">SLOPE(INDIRECT($D$9):G975,INDIRECT($C$9):F975)</f>
        <v>-1.1422890294328336E-5</v>
      </c>
      <c r="D12" s="3"/>
      <c r="E12" s="12"/>
    </row>
    <row r="13" spans="1:6" x14ac:dyDescent="0.2">
      <c r="A13" s="12" t="s">
        <v>20</v>
      </c>
      <c r="B13" s="49"/>
      <c r="C13" s="3" t="s">
        <v>15</v>
      </c>
    </row>
    <row r="14" spans="1:6" x14ac:dyDescent="0.2">
      <c r="A14" s="12"/>
      <c r="B14" s="49"/>
      <c r="C14" s="12"/>
    </row>
    <row r="15" spans="1:6" x14ac:dyDescent="0.2">
      <c r="A15" s="14" t="s">
        <v>19</v>
      </c>
      <c r="B15" s="49"/>
      <c r="C15" s="15">
        <f ca="1">(C7+C11)+(C8+C12)*INT(MAX(F21:F3516))</f>
        <v>57922.871096074137</v>
      </c>
      <c r="E15" s="16" t="s">
        <v>44</v>
      </c>
      <c r="F15" s="13">
        <v>1</v>
      </c>
    </row>
    <row r="16" spans="1:6" x14ac:dyDescent="0.2">
      <c r="A16" s="18" t="s">
        <v>6</v>
      </c>
      <c r="B16" s="49"/>
      <c r="C16" s="19">
        <f ca="1">+C8+C12</f>
        <v>3.2393675771097055</v>
      </c>
      <c r="E16" s="16" t="s">
        <v>32</v>
      </c>
      <c r="F16" s="17">
        <f ca="1">NOW()+15018.5+$C$5/24</f>
        <v>60344.69335775463</v>
      </c>
    </row>
    <row r="17" spans="1:21" ht="13.5" thickBot="1" x14ac:dyDescent="0.25">
      <c r="A17" s="16" t="s">
        <v>29</v>
      </c>
      <c r="B17" s="49"/>
      <c r="C17" s="12">
        <f>COUNT(C21:C2174)</f>
        <v>32</v>
      </c>
      <c r="E17" s="16" t="s">
        <v>45</v>
      </c>
      <c r="F17" s="17">
        <f ca="1">ROUND(2*(F16-$C$7)/$C$8,0)/2+F15</f>
        <v>2422.5</v>
      </c>
    </row>
    <row r="18" spans="1:21" ht="14.25" thickTop="1" thickBot="1" x14ac:dyDescent="0.25">
      <c r="A18" s="18" t="s">
        <v>7</v>
      </c>
      <c r="B18" s="49"/>
      <c r="C18" s="21">
        <f ca="1">+C15</f>
        <v>57922.871096074137</v>
      </c>
      <c r="D18" s="22">
        <f ca="1">+C16</f>
        <v>3.2393675771097055</v>
      </c>
      <c r="E18" s="16" t="s">
        <v>33</v>
      </c>
      <c r="F18" s="25">
        <f ca="1">ROUND(2*(F16-$C$15)/$C$16,0)/2+F15</f>
        <v>748.5</v>
      </c>
    </row>
    <row r="19" spans="1:21" ht="13.5" thickTop="1" x14ac:dyDescent="0.2">
      <c r="E19" s="16" t="s">
        <v>34</v>
      </c>
      <c r="F19" s="20">
        <f ca="1">+$C$15+$C$16*F18-15018.5-$C$5/24</f>
        <v>45329.433560874088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53</v>
      </c>
      <c r="I20" s="7" t="s">
        <v>56</v>
      </c>
      <c r="J20" s="7" t="s">
        <v>50</v>
      </c>
      <c r="K20" s="7" t="s">
        <v>48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9" t="s">
        <v>1</v>
      </c>
    </row>
    <row r="21" spans="1:21" x14ac:dyDescent="0.2">
      <c r="A21" s="47" t="s">
        <v>63</v>
      </c>
      <c r="B21" s="50" t="s">
        <v>36</v>
      </c>
      <c r="C21" s="48">
        <v>28308.54</v>
      </c>
      <c r="D21" s="48" t="s">
        <v>56</v>
      </c>
      <c r="E21">
        <f t="shared" ref="E21:E50" si="0">+(C21-C$7)/C$8</f>
        <v>-7467.9856849105954</v>
      </c>
      <c r="F21">
        <f t="shared" ref="F21:F52" si="1">ROUND(2*E21,0)/2</f>
        <v>-7468</v>
      </c>
      <c r="G21">
        <f t="shared" ref="G21:G49" si="2">+C21-(C$7+F21*C$8)</f>
        <v>4.6372000000701519E-2</v>
      </c>
      <c r="I21">
        <f t="shared" ref="I21:I39" si="3">+G21</f>
        <v>4.6372000000701519E-2</v>
      </c>
      <c r="O21">
        <f t="shared" ref="O21:O50" ca="1" si="4">+C$11+C$12*$F21</f>
        <v>7.9078137209642532E-2</v>
      </c>
      <c r="Q21" s="2">
        <f t="shared" ref="Q21:Q50" si="5">+C21-15018.5</f>
        <v>13290.04</v>
      </c>
    </row>
    <row r="22" spans="1:21" x14ac:dyDescent="0.2">
      <c r="A22" s="47" t="s">
        <v>63</v>
      </c>
      <c r="B22" s="50" t="s">
        <v>36</v>
      </c>
      <c r="C22" s="48">
        <v>28428.37</v>
      </c>
      <c r="D22" s="48" t="s">
        <v>56</v>
      </c>
      <c r="E22">
        <f t="shared" si="0"/>
        <v>-7430.9940269415838</v>
      </c>
      <c r="F22">
        <f t="shared" si="1"/>
        <v>-7431</v>
      </c>
      <c r="G22">
        <f t="shared" si="2"/>
        <v>1.9348999998328509E-2</v>
      </c>
      <c r="I22">
        <f t="shared" si="3"/>
        <v>1.9348999998328509E-2</v>
      </c>
      <c r="O22">
        <f t="shared" ca="1" si="4"/>
        <v>7.865549026875239E-2</v>
      </c>
      <c r="Q22" s="2">
        <f t="shared" si="5"/>
        <v>13409.869999999999</v>
      </c>
    </row>
    <row r="23" spans="1:21" x14ac:dyDescent="0.2">
      <c r="A23" s="47" t="s">
        <v>63</v>
      </c>
      <c r="B23" s="50" t="s">
        <v>36</v>
      </c>
      <c r="C23" s="48">
        <v>28635.68</v>
      </c>
      <c r="D23" s="48" t="s">
        <v>56</v>
      </c>
      <c r="E23">
        <f t="shared" si="0"/>
        <v>-7366.997192980506</v>
      </c>
      <c r="F23">
        <f t="shared" si="1"/>
        <v>-7367</v>
      </c>
      <c r="G23">
        <f t="shared" si="2"/>
        <v>9.0930000005755574E-3</v>
      </c>
      <c r="I23">
        <f t="shared" si="3"/>
        <v>9.0930000005755574E-3</v>
      </c>
      <c r="O23">
        <f t="shared" ca="1" si="4"/>
        <v>7.7924425289915375E-2</v>
      </c>
      <c r="Q23" s="2">
        <f t="shared" si="5"/>
        <v>13617.18</v>
      </c>
    </row>
    <row r="24" spans="1:21" x14ac:dyDescent="0.2">
      <c r="A24" s="47" t="s">
        <v>63</v>
      </c>
      <c r="B24" s="50" t="s">
        <v>36</v>
      </c>
      <c r="C24" s="48">
        <v>28781.424999999999</v>
      </c>
      <c r="D24" s="48" t="s">
        <v>56</v>
      </c>
      <c r="E24">
        <f t="shared" si="0"/>
        <v>-7322.0055448899311</v>
      </c>
      <c r="F24">
        <f t="shared" si="1"/>
        <v>-7322</v>
      </c>
      <c r="G24">
        <f t="shared" si="2"/>
        <v>-1.796200000171666E-2</v>
      </c>
      <c r="I24">
        <f t="shared" si="3"/>
        <v>-1.796200000171666E-2</v>
      </c>
      <c r="O24">
        <f t="shared" ca="1" si="4"/>
        <v>7.7410395226670592E-2</v>
      </c>
      <c r="Q24" s="2">
        <f t="shared" si="5"/>
        <v>13762.924999999999</v>
      </c>
    </row>
    <row r="25" spans="1:21" x14ac:dyDescent="0.2">
      <c r="A25" s="47" t="s">
        <v>63</v>
      </c>
      <c r="B25" s="50" t="s">
        <v>36</v>
      </c>
      <c r="C25" s="48">
        <v>28807.35</v>
      </c>
      <c r="D25" s="48" t="s">
        <v>56</v>
      </c>
      <c r="E25">
        <f t="shared" si="0"/>
        <v>-7314.0024677569372</v>
      </c>
      <c r="F25">
        <f t="shared" si="1"/>
        <v>-7314</v>
      </c>
      <c r="G25">
        <f t="shared" si="2"/>
        <v>-7.9939999995986E-3</v>
      </c>
      <c r="I25">
        <f t="shared" si="3"/>
        <v>-7.9939999995986E-3</v>
      </c>
      <c r="O25">
        <f t="shared" ca="1" si="4"/>
        <v>7.7319012104315965E-2</v>
      </c>
      <c r="Q25" s="2">
        <f t="shared" si="5"/>
        <v>13788.849999999999</v>
      </c>
    </row>
    <row r="26" spans="1:21" x14ac:dyDescent="0.2">
      <c r="A26" s="47" t="s">
        <v>63</v>
      </c>
      <c r="B26" s="50" t="s">
        <v>36</v>
      </c>
      <c r="C26" s="48">
        <v>28859.215</v>
      </c>
      <c r="D26" s="48" t="s">
        <v>56</v>
      </c>
      <c r="E26">
        <f t="shared" si="0"/>
        <v>-7297.991682973804</v>
      </c>
      <c r="F26">
        <f t="shared" si="1"/>
        <v>-7298</v>
      </c>
      <c r="G26">
        <f t="shared" si="2"/>
        <v>2.6942000000417465E-2</v>
      </c>
      <c r="I26">
        <f t="shared" si="3"/>
        <v>2.6942000000417465E-2</v>
      </c>
      <c r="O26">
        <f t="shared" ca="1" si="4"/>
        <v>7.7136245859606711E-2</v>
      </c>
      <c r="Q26" s="2">
        <f t="shared" si="5"/>
        <v>13840.715</v>
      </c>
    </row>
    <row r="27" spans="1:21" x14ac:dyDescent="0.2">
      <c r="A27" s="47" t="s">
        <v>63</v>
      </c>
      <c r="B27" s="50" t="s">
        <v>36</v>
      </c>
      <c r="C27" s="48">
        <v>29160.41</v>
      </c>
      <c r="D27" s="48" t="s">
        <v>56</v>
      </c>
      <c r="E27">
        <f t="shared" si="0"/>
        <v>-7205.0124421995697</v>
      </c>
      <c r="F27">
        <f t="shared" si="1"/>
        <v>-7205</v>
      </c>
      <c r="G27">
        <f t="shared" si="2"/>
        <v>-4.0304999998625135E-2</v>
      </c>
      <c r="I27">
        <f t="shared" si="3"/>
        <v>-4.0304999998625135E-2</v>
      </c>
      <c r="O27">
        <f t="shared" ca="1" si="4"/>
        <v>7.6073917062234181E-2</v>
      </c>
      <c r="Q27" s="2">
        <f t="shared" si="5"/>
        <v>14141.91</v>
      </c>
    </row>
    <row r="28" spans="1:21" x14ac:dyDescent="0.2">
      <c r="A28" s="47" t="s">
        <v>63</v>
      </c>
      <c r="B28" s="50" t="s">
        <v>36</v>
      </c>
      <c r="C28" s="48">
        <v>32905.214999999997</v>
      </c>
      <c r="D28" s="48" t="s">
        <v>56</v>
      </c>
      <c r="E28">
        <f t="shared" si="0"/>
        <v>-6048.9868582836407</v>
      </c>
      <c r="F28">
        <f t="shared" si="1"/>
        <v>-6049</v>
      </c>
      <c r="G28">
        <f t="shared" si="2"/>
        <v>4.257099999813363E-2</v>
      </c>
      <c r="I28">
        <f t="shared" si="3"/>
        <v>4.257099999813363E-2</v>
      </c>
      <c r="O28">
        <f t="shared" ca="1" si="4"/>
        <v>6.2869055881990626E-2</v>
      </c>
      <c r="Q28" s="2">
        <f t="shared" si="5"/>
        <v>17886.714999999997</v>
      </c>
    </row>
    <row r="29" spans="1:21" x14ac:dyDescent="0.2">
      <c r="A29" s="47" t="s">
        <v>63</v>
      </c>
      <c r="B29" s="50" t="s">
        <v>36</v>
      </c>
      <c r="C29" s="48">
        <v>33504.474999999999</v>
      </c>
      <c r="D29" s="48" t="s">
        <v>56</v>
      </c>
      <c r="E29">
        <f t="shared" si="0"/>
        <v>-5863.9946113128472</v>
      </c>
      <c r="F29">
        <f t="shared" si="1"/>
        <v>-5864</v>
      </c>
      <c r="G29">
        <f t="shared" si="2"/>
        <v>1.7455999994126614E-2</v>
      </c>
      <c r="I29">
        <f t="shared" si="3"/>
        <v>1.7455999994126614E-2</v>
      </c>
      <c r="O29">
        <f t="shared" ca="1" si="4"/>
        <v>6.0755821177539887E-2</v>
      </c>
      <c r="Q29" s="2">
        <f t="shared" si="5"/>
        <v>18485.974999999999</v>
      </c>
    </row>
    <row r="30" spans="1:21" x14ac:dyDescent="0.2">
      <c r="A30" s="47" t="s">
        <v>63</v>
      </c>
      <c r="B30" s="50" t="s">
        <v>36</v>
      </c>
      <c r="C30" s="48">
        <v>33922.334999999999</v>
      </c>
      <c r="D30" s="48" t="s">
        <v>56</v>
      </c>
      <c r="E30">
        <f t="shared" si="0"/>
        <v>-5735.0007516872838</v>
      </c>
      <c r="F30">
        <f t="shared" si="1"/>
        <v>-5735</v>
      </c>
      <c r="G30">
        <f t="shared" si="2"/>
        <v>-2.4349999948753975E-3</v>
      </c>
      <c r="I30">
        <f t="shared" si="3"/>
        <v>-2.4349999948753975E-3</v>
      </c>
      <c r="O30">
        <f t="shared" ca="1" si="4"/>
        <v>5.9282268329571522E-2</v>
      </c>
      <c r="Q30" s="2">
        <f t="shared" si="5"/>
        <v>18903.834999999999</v>
      </c>
    </row>
    <row r="31" spans="1:21" x14ac:dyDescent="0.2">
      <c r="A31" s="47" t="s">
        <v>63</v>
      </c>
      <c r="B31" s="50" t="s">
        <v>36</v>
      </c>
      <c r="C31" s="48">
        <v>34602.6</v>
      </c>
      <c r="D31" s="48" t="s">
        <v>56</v>
      </c>
      <c r="E31">
        <f t="shared" si="0"/>
        <v>-5525.0021686255304</v>
      </c>
      <c r="F31">
        <f t="shared" si="1"/>
        <v>-5525</v>
      </c>
      <c r="G31">
        <f t="shared" si="2"/>
        <v>-7.0250000062515028E-3</v>
      </c>
      <c r="I31">
        <f t="shared" si="3"/>
        <v>-7.0250000062515028E-3</v>
      </c>
      <c r="O31">
        <f t="shared" ca="1" si="4"/>
        <v>5.6883461367762581E-2</v>
      </c>
      <c r="Q31" s="2">
        <f t="shared" si="5"/>
        <v>19584.099999999999</v>
      </c>
    </row>
    <row r="32" spans="1:21" x14ac:dyDescent="0.2">
      <c r="A32" s="47" t="s">
        <v>63</v>
      </c>
      <c r="B32" s="50" t="s">
        <v>36</v>
      </c>
      <c r="C32" s="48">
        <v>34628.525000000001</v>
      </c>
      <c r="D32" s="48" t="s">
        <v>56</v>
      </c>
      <c r="E32">
        <f t="shared" si="0"/>
        <v>-5516.9990914925356</v>
      </c>
      <c r="F32">
        <f t="shared" si="1"/>
        <v>-5517</v>
      </c>
      <c r="G32">
        <f t="shared" si="2"/>
        <v>2.943000006780494E-3</v>
      </c>
      <c r="I32">
        <f t="shared" si="3"/>
        <v>2.943000006780494E-3</v>
      </c>
      <c r="O32">
        <f t="shared" ca="1" si="4"/>
        <v>5.6792078245407954E-2</v>
      </c>
      <c r="Q32" s="2">
        <f t="shared" si="5"/>
        <v>19610.025000000001</v>
      </c>
    </row>
    <row r="33" spans="1:21" x14ac:dyDescent="0.2">
      <c r="A33" s="47" t="s">
        <v>63</v>
      </c>
      <c r="B33" s="50" t="s">
        <v>36</v>
      </c>
      <c r="C33" s="48">
        <v>34706.25</v>
      </c>
      <c r="D33" s="48" t="s">
        <v>56</v>
      </c>
      <c r="E33">
        <f t="shared" si="0"/>
        <v>-5493.0052951507059</v>
      </c>
      <c r="F33">
        <f t="shared" si="1"/>
        <v>-5493</v>
      </c>
      <c r="G33">
        <f t="shared" si="2"/>
        <v>-1.7153000000689644E-2</v>
      </c>
      <c r="I33">
        <f t="shared" si="3"/>
        <v>-1.7153000000689644E-2</v>
      </c>
      <c r="O33">
        <f t="shared" ca="1" si="4"/>
        <v>5.6517928878344073E-2</v>
      </c>
      <c r="Q33" s="2">
        <f t="shared" si="5"/>
        <v>19687.75</v>
      </c>
    </row>
    <row r="34" spans="1:21" x14ac:dyDescent="0.2">
      <c r="A34" s="47" t="s">
        <v>63</v>
      </c>
      <c r="B34" s="50" t="s">
        <v>36</v>
      </c>
      <c r="C34" s="48">
        <v>34981.574999999997</v>
      </c>
      <c r="D34" s="48" t="s">
        <v>56</v>
      </c>
      <c r="E34">
        <f t="shared" si="0"/>
        <v>-5408.0121529465996</v>
      </c>
      <c r="F34">
        <f t="shared" si="1"/>
        <v>-5408</v>
      </c>
      <c r="G34">
        <f t="shared" si="2"/>
        <v>-3.9367999997921288E-2</v>
      </c>
      <c r="I34">
        <f t="shared" si="3"/>
        <v>-3.9367999997921288E-2</v>
      </c>
      <c r="O34">
        <f t="shared" ca="1" si="4"/>
        <v>5.5546983203326156E-2</v>
      </c>
      <c r="Q34" s="2">
        <f t="shared" si="5"/>
        <v>19963.074999999997</v>
      </c>
    </row>
    <row r="35" spans="1:21" x14ac:dyDescent="0.2">
      <c r="A35" s="47" t="s">
        <v>63</v>
      </c>
      <c r="B35" s="50" t="s">
        <v>36</v>
      </c>
      <c r="C35" s="48">
        <v>35020.49</v>
      </c>
      <c r="D35" s="48" t="s">
        <v>56</v>
      </c>
      <c r="E35">
        <f t="shared" si="0"/>
        <v>-5395.9990479656753</v>
      </c>
      <c r="F35">
        <f t="shared" si="1"/>
        <v>-5396</v>
      </c>
      <c r="G35">
        <f t="shared" si="2"/>
        <v>3.0840000035823323E-3</v>
      </c>
      <c r="I35">
        <f t="shared" si="3"/>
        <v>3.0840000035823323E-3</v>
      </c>
      <c r="O35">
        <f t="shared" ca="1" si="4"/>
        <v>5.5409908519794215E-2</v>
      </c>
      <c r="Q35" s="2">
        <f t="shared" si="5"/>
        <v>20001.989999999998</v>
      </c>
    </row>
    <row r="36" spans="1:21" x14ac:dyDescent="0.2">
      <c r="A36" s="47" t="s">
        <v>63</v>
      </c>
      <c r="B36" s="50" t="s">
        <v>36</v>
      </c>
      <c r="C36" s="48">
        <v>35344.410000000003</v>
      </c>
      <c r="D36" s="48" t="s">
        <v>56</v>
      </c>
      <c r="E36">
        <f t="shared" si="0"/>
        <v>-5296.0045737161336</v>
      </c>
      <c r="F36">
        <f t="shared" si="1"/>
        <v>-5296</v>
      </c>
      <c r="G36">
        <f t="shared" si="2"/>
        <v>-1.4815999995335005E-2</v>
      </c>
      <c r="I36">
        <f t="shared" si="3"/>
        <v>-1.4815999995335005E-2</v>
      </c>
      <c r="O36">
        <f t="shared" ca="1" si="4"/>
        <v>5.426761949036138E-2</v>
      </c>
      <c r="Q36" s="2">
        <f t="shared" si="5"/>
        <v>20325.910000000003</v>
      </c>
    </row>
    <row r="37" spans="1:21" x14ac:dyDescent="0.2">
      <c r="A37" s="47" t="s">
        <v>63</v>
      </c>
      <c r="B37" s="50" t="s">
        <v>36</v>
      </c>
      <c r="C37" s="48">
        <v>35370.315000000002</v>
      </c>
      <c r="D37" s="48" t="s">
        <v>56</v>
      </c>
      <c r="E37">
        <f t="shared" si="0"/>
        <v>-5288.0076706060008</v>
      </c>
      <c r="F37">
        <f t="shared" si="1"/>
        <v>-5288</v>
      </c>
      <c r="G37">
        <f t="shared" si="2"/>
        <v>-2.484800000092946E-2</v>
      </c>
      <c r="I37">
        <f t="shared" si="3"/>
        <v>-2.484800000092946E-2</v>
      </c>
      <c r="O37">
        <f t="shared" ca="1" si="4"/>
        <v>5.4176236368006753E-2</v>
      </c>
      <c r="Q37" s="2">
        <f t="shared" si="5"/>
        <v>20351.815000000002</v>
      </c>
    </row>
    <row r="38" spans="1:21" x14ac:dyDescent="0.2">
      <c r="A38" s="47" t="s">
        <v>63</v>
      </c>
      <c r="B38" s="50" t="s">
        <v>36</v>
      </c>
      <c r="C38" s="48">
        <v>35399.480000000003</v>
      </c>
      <c r="D38" s="48" t="s">
        <v>56</v>
      </c>
      <c r="E38">
        <f t="shared" si="0"/>
        <v>-5279.0044017695973</v>
      </c>
      <c r="F38">
        <f t="shared" si="1"/>
        <v>-5279</v>
      </c>
      <c r="G38">
        <f t="shared" si="2"/>
        <v>-1.4258999995945487E-2</v>
      </c>
      <c r="I38">
        <f t="shared" si="3"/>
        <v>-1.4258999995945487E-2</v>
      </c>
      <c r="O38">
        <f t="shared" ca="1" si="4"/>
        <v>5.4073430355357804E-2</v>
      </c>
      <c r="Q38" s="2">
        <f t="shared" si="5"/>
        <v>20380.980000000003</v>
      </c>
    </row>
    <row r="39" spans="1:21" x14ac:dyDescent="0.2">
      <c r="A39" s="31" t="s">
        <v>37</v>
      </c>
      <c r="B39" s="30" t="s">
        <v>36</v>
      </c>
      <c r="C39" s="31">
        <v>52500.175999999999</v>
      </c>
      <c r="D39" s="28"/>
      <c r="E39">
        <f t="shared" si="0"/>
        <v>0</v>
      </c>
      <c r="F39">
        <f t="shared" si="1"/>
        <v>0</v>
      </c>
      <c r="G39">
        <f t="shared" si="2"/>
        <v>0</v>
      </c>
      <c r="I39">
        <f t="shared" si="3"/>
        <v>0</v>
      </c>
      <c r="O39">
        <f t="shared" ca="1" si="4"/>
        <v>-6.2280075084014848E-3</v>
      </c>
      <c r="Q39" s="2">
        <f t="shared" si="5"/>
        <v>37481.675999999999</v>
      </c>
    </row>
    <row r="40" spans="1:21" x14ac:dyDescent="0.2">
      <c r="A40" s="47" t="s">
        <v>118</v>
      </c>
      <c r="B40" s="50" t="s">
        <v>36</v>
      </c>
      <c r="C40" s="48">
        <v>52607.071000000004</v>
      </c>
      <c r="D40" s="48" t="s">
        <v>56</v>
      </c>
      <c r="E40">
        <f t="shared" si="0"/>
        <v>32.998608683949634</v>
      </c>
      <c r="F40">
        <f t="shared" si="1"/>
        <v>33</v>
      </c>
      <c r="G40">
        <f t="shared" si="2"/>
        <v>-4.5069999978295527E-3</v>
      </c>
      <c r="I40">
        <f>+G40</f>
        <v>-4.5069999978295527E-3</v>
      </c>
      <c r="O40">
        <f t="shared" ca="1" si="4"/>
        <v>-6.6049628881143197E-3</v>
      </c>
      <c r="Q40" s="2">
        <f t="shared" si="5"/>
        <v>37588.571000000004</v>
      </c>
    </row>
    <row r="41" spans="1:21" x14ac:dyDescent="0.2">
      <c r="A41" s="47" t="s">
        <v>118</v>
      </c>
      <c r="B41" s="50" t="s">
        <v>36</v>
      </c>
      <c r="C41" s="48">
        <v>52610.307999999997</v>
      </c>
      <c r="D41" s="48" t="s">
        <v>56</v>
      </c>
      <c r="E41">
        <f t="shared" si="0"/>
        <v>33.997874283928425</v>
      </c>
      <c r="F41">
        <f t="shared" si="1"/>
        <v>34</v>
      </c>
      <c r="G41">
        <f t="shared" si="2"/>
        <v>-6.8860000028507784E-3</v>
      </c>
      <c r="I41">
        <f>+G41</f>
        <v>-6.8860000028507784E-3</v>
      </c>
      <c r="O41">
        <f t="shared" ca="1" si="4"/>
        <v>-6.6163857784086481E-3</v>
      </c>
      <c r="Q41" s="2">
        <f t="shared" si="5"/>
        <v>37591.807999999997</v>
      </c>
    </row>
    <row r="42" spans="1:21" x14ac:dyDescent="0.2">
      <c r="A42" s="33" t="s">
        <v>41</v>
      </c>
      <c r="B42" s="32"/>
      <c r="C42" s="33">
        <v>52613.548600000002</v>
      </c>
      <c r="D42" s="33">
        <v>2.9999999999999997E-4</v>
      </c>
      <c r="E42">
        <f t="shared" si="0"/>
        <v>34.998251208025493</v>
      </c>
      <c r="F42">
        <f t="shared" si="1"/>
        <v>35</v>
      </c>
      <c r="G42">
        <f t="shared" si="2"/>
        <v>-5.6649999969522469E-3</v>
      </c>
      <c r="K42">
        <f t="shared" ref="K40:K42" si="6">+G42</f>
        <v>-5.6649999969522469E-3</v>
      </c>
      <c r="O42">
        <f t="shared" ca="1" si="4"/>
        <v>-6.6278086687029765E-3</v>
      </c>
      <c r="Q42" s="2">
        <f t="shared" si="5"/>
        <v>37595.048600000002</v>
      </c>
    </row>
    <row r="43" spans="1:21" x14ac:dyDescent="0.2">
      <c r="A43" s="33" t="s">
        <v>41</v>
      </c>
      <c r="B43" s="32"/>
      <c r="C43" s="33">
        <v>53342.442000000003</v>
      </c>
      <c r="D43" s="33">
        <v>4.0000000000000001E-3</v>
      </c>
      <c r="E43">
        <f t="shared" si="0"/>
        <v>260.00847693338852</v>
      </c>
      <c r="F43">
        <f t="shared" si="1"/>
        <v>260</v>
      </c>
      <c r="O43">
        <f t="shared" ca="1" si="4"/>
        <v>-9.1979589849268528E-3</v>
      </c>
      <c r="Q43" s="2">
        <f t="shared" si="5"/>
        <v>38323.942000000003</v>
      </c>
      <c r="U43">
        <f>+C43-(C$7+F43*C$8)</f>
        <v>2.7460000004793983E-2</v>
      </c>
    </row>
    <row r="44" spans="1:21" x14ac:dyDescent="0.2">
      <c r="A44" s="47" t="s">
        <v>133</v>
      </c>
      <c r="B44" s="50" t="s">
        <v>43</v>
      </c>
      <c r="C44" s="48">
        <v>54649.484199999999</v>
      </c>
      <c r="D44" s="48" t="s">
        <v>56</v>
      </c>
      <c r="E44">
        <f t="shared" si="0"/>
        <v>663.49389805885619</v>
      </c>
      <c r="F44">
        <f t="shared" si="1"/>
        <v>663.5</v>
      </c>
      <c r="G44">
        <f t="shared" si="2"/>
        <v>-1.9766500001423992E-2</v>
      </c>
      <c r="I44">
        <f>+G44</f>
        <v>-1.9766500001423992E-2</v>
      </c>
      <c r="O44">
        <f t="shared" ca="1" si="4"/>
        <v>-1.3807095218688337E-2</v>
      </c>
      <c r="Q44" s="2">
        <f t="shared" si="5"/>
        <v>39630.984199999999</v>
      </c>
    </row>
    <row r="45" spans="1:21" x14ac:dyDescent="0.2">
      <c r="A45" s="47" t="s">
        <v>133</v>
      </c>
      <c r="B45" s="50" t="s">
        <v>36</v>
      </c>
      <c r="C45" s="48">
        <v>54696.460800000001</v>
      </c>
      <c r="D45" s="48" t="s">
        <v>56</v>
      </c>
      <c r="E45">
        <f t="shared" si="0"/>
        <v>677.99562817441279</v>
      </c>
      <c r="F45">
        <f t="shared" si="1"/>
        <v>678</v>
      </c>
      <c r="G45">
        <f t="shared" si="2"/>
        <v>-1.4161999999487307E-2</v>
      </c>
      <c r="I45">
        <f>+G45</f>
        <v>-1.4161999999487307E-2</v>
      </c>
      <c r="O45">
        <f t="shared" ca="1" si="4"/>
        <v>-1.3972727127956098E-2</v>
      </c>
      <c r="Q45" s="2">
        <f t="shared" si="5"/>
        <v>39677.960800000001</v>
      </c>
    </row>
    <row r="46" spans="1:21" x14ac:dyDescent="0.2">
      <c r="A46" s="47" t="s">
        <v>145</v>
      </c>
      <c r="B46" s="50" t="s">
        <v>36</v>
      </c>
      <c r="C46" s="48">
        <v>55049.5452</v>
      </c>
      <c r="D46" s="48" t="s">
        <v>56</v>
      </c>
      <c r="E46">
        <f t="shared" si="0"/>
        <v>786.99318603967026</v>
      </c>
      <c r="F46">
        <f t="shared" si="1"/>
        <v>787</v>
      </c>
      <c r="G46">
        <f t="shared" si="2"/>
        <v>-2.207300000009127E-2</v>
      </c>
      <c r="I46">
        <f>+G46</f>
        <v>-2.207300000009127E-2</v>
      </c>
      <c r="O46">
        <f t="shared" ca="1" si="4"/>
        <v>-1.5217822170037885E-2</v>
      </c>
      <c r="Q46" s="2">
        <f t="shared" si="5"/>
        <v>40031.0452</v>
      </c>
    </row>
    <row r="47" spans="1:21" x14ac:dyDescent="0.2">
      <c r="A47" s="47" t="s">
        <v>145</v>
      </c>
      <c r="B47" s="50" t="s">
        <v>36</v>
      </c>
      <c r="C47" s="48">
        <v>55075.461199999998</v>
      </c>
      <c r="D47" s="48" t="s">
        <v>56</v>
      </c>
      <c r="E47">
        <f t="shared" si="0"/>
        <v>794.99348486237591</v>
      </c>
      <c r="F47">
        <f t="shared" si="1"/>
        <v>795</v>
      </c>
      <c r="G47">
        <f t="shared" si="2"/>
        <v>-2.1104999999806751E-2</v>
      </c>
      <c r="I47">
        <f>+G47</f>
        <v>-2.1104999999806751E-2</v>
      </c>
      <c r="O47">
        <f t="shared" ca="1" si="4"/>
        <v>-1.5309205292392512E-2</v>
      </c>
      <c r="Q47" s="2">
        <f t="shared" si="5"/>
        <v>40056.961199999998</v>
      </c>
    </row>
    <row r="48" spans="1:21" x14ac:dyDescent="0.2">
      <c r="A48" s="47" t="s">
        <v>154</v>
      </c>
      <c r="B48" s="50" t="s">
        <v>36</v>
      </c>
      <c r="C48" s="48">
        <v>55794.607499999998</v>
      </c>
      <c r="D48" s="48" t="s">
        <v>56</v>
      </c>
      <c r="E48">
        <f t="shared" si="0"/>
        <v>1016.9947696765333</v>
      </c>
      <c r="F48">
        <f t="shared" si="1"/>
        <v>1017</v>
      </c>
      <c r="G48">
        <f t="shared" si="2"/>
        <v>-1.6943000002356712E-2</v>
      </c>
      <c r="I48">
        <f>+G48</f>
        <v>-1.6943000002356712E-2</v>
      </c>
      <c r="O48">
        <f t="shared" ca="1" si="4"/>
        <v>-1.7845086937733401E-2</v>
      </c>
      <c r="Q48" s="2">
        <f t="shared" si="5"/>
        <v>40776.107499999998</v>
      </c>
    </row>
    <row r="49" spans="1:21" x14ac:dyDescent="0.2">
      <c r="A49" s="47" t="s">
        <v>154</v>
      </c>
      <c r="B49" s="50" t="s">
        <v>36</v>
      </c>
      <c r="C49" s="48">
        <v>55833.481</v>
      </c>
      <c r="D49" s="48" t="s">
        <v>56</v>
      </c>
      <c r="E49">
        <f t="shared" si="0"/>
        <v>1028.9950635600219</v>
      </c>
      <c r="F49">
        <f t="shared" si="1"/>
        <v>1029</v>
      </c>
      <c r="G49">
        <f t="shared" si="2"/>
        <v>-1.5991000000212807E-2</v>
      </c>
      <c r="I49">
        <f>+G49</f>
        <v>-1.5991000000212807E-2</v>
      </c>
      <c r="O49">
        <f t="shared" ca="1" si="4"/>
        <v>-1.7982161621265341E-2</v>
      </c>
      <c r="Q49" s="2">
        <f t="shared" si="5"/>
        <v>40814.981</v>
      </c>
    </row>
    <row r="50" spans="1:21" x14ac:dyDescent="0.2">
      <c r="A50" s="51" t="s">
        <v>42</v>
      </c>
      <c r="B50" s="52" t="s">
        <v>43</v>
      </c>
      <c r="C50" s="53">
        <v>56152.586000000003</v>
      </c>
      <c r="D50" s="53">
        <v>5.5999999999999999E-3</v>
      </c>
      <c r="E50">
        <f t="shared" si="0"/>
        <v>1127.5031418058843</v>
      </c>
      <c r="F50">
        <f t="shared" si="1"/>
        <v>1127.5</v>
      </c>
      <c r="O50">
        <f t="shared" ca="1" si="4"/>
        <v>-1.9107316315256685E-2</v>
      </c>
      <c r="Q50" s="2">
        <f t="shared" si="5"/>
        <v>41134.086000000003</v>
      </c>
      <c r="U50">
        <f>+C50-(C$7+F50*C$8)</f>
        <v>1.0177500000281725E-2</v>
      </c>
    </row>
    <row r="51" spans="1:21" x14ac:dyDescent="0.2">
      <c r="A51" s="54" t="s">
        <v>2</v>
      </c>
      <c r="B51" s="55" t="s">
        <v>36</v>
      </c>
      <c r="C51" s="56">
        <v>57579.502899999999</v>
      </c>
      <c r="D51" s="56">
        <v>8.0000000000000004E-4</v>
      </c>
      <c r="E51">
        <f>+(C51-C$7)/C$8</f>
        <v>1567.9940198414572</v>
      </c>
      <c r="F51">
        <f t="shared" si="1"/>
        <v>1568</v>
      </c>
      <c r="G51">
        <f>+C51-(C$7+F51*C$8)</f>
        <v>-1.9372000002476852E-2</v>
      </c>
      <c r="K51">
        <f>+G51</f>
        <v>-1.9372000002476852E-2</v>
      </c>
      <c r="O51">
        <f ca="1">+C$11+C$12*$F51</f>
        <v>-2.4139099489908316E-2</v>
      </c>
      <c r="Q51" s="2">
        <f>+C51-15018.5</f>
        <v>42561.002899999999</v>
      </c>
    </row>
    <row r="52" spans="1:21" x14ac:dyDescent="0.2">
      <c r="A52" s="57" t="s">
        <v>0</v>
      </c>
      <c r="B52" s="60" t="s">
        <v>43</v>
      </c>
      <c r="C52" s="58">
        <v>57924.492899999997</v>
      </c>
      <c r="D52" s="58">
        <v>2.8E-3</v>
      </c>
      <c r="E52">
        <f>+(C52-C$7)/C$8</f>
        <v>1674.4928271745905</v>
      </c>
      <c r="F52">
        <f t="shared" si="1"/>
        <v>1674.5</v>
      </c>
      <c r="G52">
        <f>+C52-(C$7+F52*C$8)</f>
        <v>-2.3235500004375353E-2</v>
      </c>
      <c r="K52">
        <f>+G52</f>
        <v>-2.3235500004375353E-2</v>
      </c>
      <c r="O52">
        <f ca="1">+C$11+C$12*$F52</f>
        <v>-2.5355637306254283E-2</v>
      </c>
      <c r="Q52" s="2">
        <f>+C52-15018.5</f>
        <v>42905.992899999997</v>
      </c>
    </row>
    <row r="53" spans="1:21" x14ac:dyDescent="0.2">
      <c r="C53" s="10"/>
      <c r="D53" s="10"/>
    </row>
    <row r="54" spans="1:21" x14ac:dyDescent="0.2">
      <c r="C54" s="10"/>
      <c r="D54" s="10"/>
    </row>
    <row r="55" spans="1:21" x14ac:dyDescent="0.2">
      <c r="C55" s="10"/>
      <c r="D55" s="10"/>
    </row>
    <row r="56" spans="1:21" x14ac:dyDescent="0.2">
      <c r="C56" s="10"/>
      <c r="D56" s="10"/>
    </row>
    <row r="57" spans="1:21" x14ac:dyDescent="0.2">
      <c r="C57" s="10"/>
      <c r="D57" s="10"/>
    </row>
    <row r="58" spans="1:21" x14ac:dyDescent="0.2">
      <c r="C58" s="10"/>
      <c r="D58" s="10"/>
    </row>
    <row r="59" spans="1:21" x14ac:dyDescent="0.2">
      <c r="C59" s="10"/>
      <c r="D59" s="10"/>
    </row>
    <row r="60" spans="1:21" x14ac:dyDescent="0.2">
      <c r="C60" s="10"/>
      <c r="D60" s="10"/>
    </row>
    <row r="61" spans="1:21" x14ac:dyDescent="0.2">
      <c r="C61" s="10"/>
      <c r="D61" s="10"/>
    </row>
    <row r="62" spans="1:21" x14ac:dyDescent="0.2">
      <c r="C62" s="10"/>
      <c r="D62" s="10"/>
    </row>
    <row r="63" spans="1:21" x14ac:dyDescent="0.2">
      <c r="C63" s="10"/>
      <c r="D63" s="10"/>
    </row>
    <row r="64" spans="1:21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hyperlinks>
    <hyperlink ref="H952" r:id="rId1" display="http://vsolj.cetus-net.org/bulletin.html"/>
    <hyperlink ref="H64619" r:id="rId2" display="http://vsolj.cetus-net.org/bulletin.html"/>
    <hyperlink ref="H64612" r:id="rId3" display="https://www.aavso.org/ejaavso"/>
    <hyperlink ref="AP763" r:id="rId4" display="http://cdsbib.u-strasbg.fr/cgi-bin/cdsbib?1990RMxAA..21..381G"/>
    <hyperlink ref="AP767" r:id="rId5" display="http://cdsbib.u-strasbg.fr/cgi-bin/cdsbib?1990RMxAA..21..381G"/>
    <hyperlink ref="AP766" r:id="rId6" display="http://cdsbib.u-strasbg.fr/cgi-bin/cdsbib?1990RMxAA..21..381G"/>
    <hyperlink ref="AP747" r:id="rId7" display="http://cdsbib.u-strasbg.fr/cgi-bin/cdsbib?1990RMxAA..21..381G"/>
    <hyperlink ref="I64619" r:id="rId8" display="http://vsolj.cetus-net.org/bulletin.html"/>
    <hyperlink ref="AQ903" r:id="rId9" display="http://cdsbib.u-strasbg.fr/cgi-bin/cdsbib?1990RMxAA..21..381G"/>
    <hyperlink ref="AQ55669" r:id="rId10" display="http://cdsbib.u-strasbg.fr/cgi-bin/cdsbib?1990RMxAA..21..381G"/>
    <hyperlink ref="AQ904" r:id="rId11" display="http://cdsbib.u-strasbg.fr/cgi-bin/cdsbib?1990RMxAA..21..381G"/>
    <hyperlink ref="H64616" r:id="rId12" display="https://www.aavso.org/ejaavso"/>
    <hyperlink ref="H1789" r:id="rId13" display="http://vsolj.cetus-net.org/bulletin.html"/>
    <hyperlink ref="AP3033" r:id="rId14" display="http://cdsbib.u-strasbg.fr/cgi-bin/cdsbib?1990RMxAA..21..381G"/>
    <hyperlink ref="AP3036" r:id="rId15" display="http://cdsbib.u-strasbg.fr/cgi-bin/cdsbib?1990RMxAA..21..381G"/>
    <hyperlink ref="AP3034" r:id="rId16" display="http://cdsbib.u-strasbg.fr/cgi-bin/cdsbib?1990RMxAA..21..381G"/>
    <hyperlink ref="AP3018" r:id="rId17" display="http://cdsbib.u-strasbg.fr/cgi-bin/cdsbib?1990RMxAA..21..381G"/>
    <hyperlink ref="I1789" r:id="rId18" display="http://vsolj.cetus-net.org/bulletin.html"/>
    <hyperlink ref="AQ3247" r:id="rId19" display="http://cdsbib.u-strasbg.fr/cgi-bin/cdsbib?1990RMxAA..21..381G"/>
    <hyperlink ref="AQ65484" r:id="rId20" display="http://cdsbib.u-strasbg.fr/cgi-bin/cdsbib?1990RMxAA..21..381G"/>
    <hyperlink ref="AQ3251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5"/>
  <sheetViews>
    <sheetView workbookViewId="0">
      <selection activeCell="A14" sqref="A14:D3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46</v>
      </c>
      <c r="I1" s="35" t="s">
        <v>47</v>
      </c>
      <c r="J1" s="36" t="s">
        <v>48</v>
      </c>
    </row>
    <row r="2" spans="1:16" x14ac:dyDescent="0.2">
      <c r="I2" s="37" t="s">
        <v>49</v>
      </c>
      <c r="J2" s="38" t="s">
        <v>50</v>
      </c>
    </row>
    <row r="3" spans="1:16" x14ac:dyDescent="0.2">
      <c r="A3" s="39" t="s">
        <v>51</v>
      </c>
      <c r="I3" s="37" t="s">
        <v>52</v>
      </c>
      <c r="J3" s="38" t="s">
        <v>53</v>
      </c>
    </row>
    <row r="4" spans="1:16" x14ac:dyDescent="0.2">
      <c r="I4" s="37" t="s">
        <v>54</v>
      </c>
      <c r="J4" s="38" t="s">
        <v>53</v>
      </c>
    </row>
    <row r="5" spans="1:16" ht="13.5" thickBot="1" x14ac:dyDescent="0.25">
      <c r="I5" s="40" t="s">
        <v>55</v>
      </c>
      <c r="J5" s="41" t="s">
        <v>56</v>
      </c>
    </row>
    <row r="10" spans="1:16" ht="13.5" thickBot="1" x14ac:dyDescent="0.25"/>
    <row r="11" spans="1:16" ht="12.75" customHeight="1" thickBot="1" x14ac:dyDescent="0.25">
      <c r="A11" s="10" t="str">
        <f t="shared" ref="A11:A39" si="0">P11</f>
        <v>IBVS 5809 </v>
      </c>
      <c r="B11" s="3" t="str">
        <f t="shared" ref="B11:B39" si="1">IF(H11=INT(H11),"I","II")</f>
        <v>I</v>
      </c>
      <c r="C11" s="10">
        <f t="shared" ref="C11:C39" si="2">1*G11</f>
        <v>52613.548600000002</v>
      </c>
      <c r="D11" s="12" t="str">
        <f t="shared" ref="D11:D39" si="3">VLOOKUP(F11,I$1:J$5,2,FALSE)</f>
        <v>vis</v>
      </c>
      <c r="E11" s="42">
        <f>VLOOKUP(C11,Active!C$21:E$973,3,FALSE)</f>
        <v>34.998251208025493</v>
      </c>
      <c r="F11" s="3" t="s">
        <v>55</v>
      </c>
      <c r="G11" s="12" t="str">
        <f t="shared" ref="G11:G39" si="4">MID(I11,3,LEN(I11)-3)</f>
        <v>52613.5486</v>
      </c>
      <c r="H11" s="10">
        <f t="shared" ref="H11:H39" si="5">1*K11</f>
        <v>5770</v>
      </c>
      <c r="I11" s="43" t="s">
        <v>122</v>
      </c>
      <c r="J11" s="44" t="s">
        <v>123</v>
      </c>
      <c r="K11" s="43">
        <v>5770</v>
      </c>
      <c r="L11" s="43" t="s">
        <v>124</v>
      </c>
      <c r="M11" s="44" t="s">
        <v>116</v>
      </c>
      <c r="N11" s="44" t="s">
        <v>55</v>
      </c>
      <c r="O11" s="45" t="s">
        <v>117</v>
      </c>
      <c r="P11" s="46" t="s">
        <v>118</v>
      </c>
    </row>
    <row r="12" spans="1:16" ht="12.75" customHeight="1" thickBot="1" x14ac:dyDescent="0.25">
      <c r="A12" s="10" t="str">
        <f t="shared" si="0"/>
        <v>IBVS 5809 </v>
      </c>
      <c r="B12" s="3" t="str">
        <f t="shared" si="1"/>
        <v>I</v>
      </c>
      <c r="C12" s="10">
        <f t="shared" si="2"/>
        <v>53342.442000000003</v>
      </c>
      <c r="D12" s="12" t="str">
        <f t="shared" si="3"/>
        <v>vis</v>
      </c>
      <c r="E12" s="42">
        <f>VLOOKUP(C12,Active!C$21:E$973,3,FALSE)</f>
        <v>260.00847693338852</v>
      </c>
      <c r="F12" s="3" t="s">
        <v>55</v>
      </c>
      <c r="G12" s="12" t="str">
        <f t="shared" si="4"/>
        <v>53342.442</v>
      </c>
      <c r="H12" s="10">
        <f t="shared" si="5"/>
        <v>5995</v>
      </c>
      <c r="I12" s="43" t="s">
        <v>125</v>
      </c>
      <c r="J12" s="44" t="s">
        <v>126</v>
      </c>
      <c r="K12" s="43">
        <v>5995</v>
      </c>
      <c r="L12" s="43" t="s">
        <v>127</v>
      </c>
      <c r="M12" s="44" t="s">
        <v>116</v>
      </c>
      <c r="N12" s="44" t="s">
        <v>55</v>
      </c>
      <c r="O12" s="45" t="s">
        <v>117</v>
      </c>
      <c r="P12" s="46" t="s">
        <v>118</v>
      </c>
    </row>
    <row r="13" spans="1:16" ht="12.75" customHeight="1" thickBot="1" x14ac:dyDescent="0.25">
      <c r="A13" s="10" t="str">
        <f t="shared" si="0"/>
        <v>BAVM 231 </v>
      </c>
      <c r="B13" s="3" t="str">
        <f t="shared" si="1"/>
        <v>II</v>
      </c>
      <c r="C13" s="10">
        <f t="shared" si="2"/>
        <v>56152.586000000003</v>
      </c>
      <c r="D13" s="12" t="str">
        <f t="shared" si="3"/>
        <v>vis</v>
      </c>
      <c r="E13" s="42">
        <f>VLOOKUP(C13,Active!C$21:E$973,3,FALSE)</f>
        <v>1127.5031418058843</v>
      </c>
      <c r="F13" s="3" t="s">
        <v>55</v>
      </c>
      <c r="G13" s="12" t="str">
        <f t="shared" si="4"/>
        <v>56152.5860</v>
      </c>
      <c r="H13" s="10">
        <f t="shared" si="5"/>
        <v>6862.5</v>
      </c>
      <c r="I13" s="43" t="s">
        <v>159</v>
      </c>
      <c r="J13" s="44" t="s">
        <v>160</v>
      </c>
      <c r="K13" s="43" t="s">
        <v>161</v>
      </c>
      <c r="L13" s="43" t="s">
        <v>162</v>
      </c>
      <c r="M13" s="44" t="s">
        <v>116</v>
      </c>
      <c r="N13" s="44" t="s">
        <v>131</v>
      </c>
      <c r="O13" s="45" t="s">
        <v>132</v>
      </c>
      <c r="P13" s="46" t="s">
        <v>163</v>
      </c>
    </row>
    <row r="14" spans="1:16" ht="12.75" customHeight="1" thickBot="1" x14ac:dyDescent="0.25">
      <c r="A14" s="10" t="str">
        <f t="shared" si="0"/>
        <v> AHSB 6.1.58 </v>
      </c>
      <c r="B14" s="3" t="str">
        <f t="shared" si="1"/>
        <v>I</v>
      </c>
      <c r="C14" s="10">
        <f t="shared" si="2"/>
        <v>28308.54</v>
      </c>
      <c r="D14" s="12" t="str">
        <f t="shared" si="3"/>
        <v>vis</v>
      </c>
      <c r="E14" s="42">
        <f>VLOOKUP(C14,Active!C$21:E$973,3,FALSE)</f>
        <v>-7467.9856849105954</v>
      </c>
      <c r="F14" s="3" t="s">
        <v>55</v>
      </c>
      <c r="G14" s="12" t="str">
        <f t="shared" si="4"/>
        <v>28308.540</v>
      </c>
      <c r="H14" s="10">
        <f t="shared" si="5"/>
        <v>-1733</v>
      </c>
      <c r="I14" s="43" t="s">
        <v>58</v>
      </c>
      <c r="J14" s="44" t="s">
        <v>59</v>
      </c>
      <c r="K14" s="43">
        <v>-1733</v>
      </c>
      <c r="L14" s="43" t="s">
        <v>60</v>
      </c>
      <c r="M14" s="44" t="s">
        <v>61</v>
      </c>
      <c r="N14" s="44"/>
      <c r="O14" s="45" t="s">
        <v>62</v>
      </c>
      <c r="P14" s="45" t="s">
        <v>63</v>
      </c>
    </row>
    <row r="15" spans="1:16" ht="12.75" customHeight="1" thickBot="1" x14ac:dyDescent="0.25">
      <c r="A15" s="10" t="str">
        <f t="shared" si="0"/>
        <v> AHSB 6.1.58 </v>
      </c>
      <c r="B15" s="3" t="str">
        <f t="shared" si="1"/>
        <v>I</v>
      </c>
      <c r="C15" s="10">
        <f t="shared" si="2"/>
        <v>28428.37</v>
      </c>
      <c r="D15" s="12" t="str">
        <f t="shared" si="3"/>
        <v>vis</v>
      </c>
      <c r="E15" s="42">
        <f>VLOOKUP(C15,Active!C$21:E$973,3,FALSE)</f>
        <v>-7430.9940269415838</v>
      </c>
      <c r="F15" s="3" t="s">
        <v>55</v>
      </c>
      <c r="G15" s="12" t="str">
        <f t="shared" si="4"/>
        <v>28428.370</v>
      </c>
      <c r="H15" s="10">
        <f t="shared" si="5"/>
        <v>-1696</v>
      </c>
      <c r="I15" s="43" t="s">
        <v>64</v>
      </c>
      <c r="J15" s="44" t="s">
        <v>65</v>
      </c>
      <c r="K15" s="43">
        <v>-1696</v>
      </c>
      <c r="L15" s="43" t="s">
        <v>66</v>
      </c>
      <c r="M15" s="44" t="s">
        <v>61</v>
      </c>
      <c r="N15" s="44"/>
      <c r="O15" s="45" t="s">
        <v>62</v>
      </c>
      <c r="P15" s="45" t="s">
        <v>63</v>
      </c>
    </row>
    <row r="16" spans="1:16" ht="12.75" customHeight="1" thickBot="1" x14ac:dyDescent="0.25">
      <c r="A16" s="10" t="str">
        <f t="shared" si="0"/>
        <v> AHSB 6.1.58 </v>
      </c>
      <c r="B16" s="3" t="str">
        <f t="shared" si="1"/>
        <v>I</v>
      </c>
      <c r="C16" s="10">
        <f t="shared" si="2"/>
        <v>28635.68</v>
      </c>
      <c r="D16" s="12" t="str">
        <f t="shared" si="3"/>
        <v>vis</v>
      </c>
      <c r="E16" s="42">
        <f>VLOOKUP(C16,Active!C$21:E$973,3,FALSE)</f>
        <v>-7366.997192980506</v>
      </c>
      <c r="F16" s="3" t="s">
        <v>55</v>
      </c>
      <c r="G16" s="12" t="str">
        <f t="shared" si="4"/>
        <v>28635.680</v>
      </c>
      <c r="H16" s="10">
        <f t="shared" si="5"/>
        <v>-1632</v>
      </c>
      <c r="I16" s="43" t="s">
        <v>67</v>
      </c>
      <c r="J16" s="44" t="s">
        <v>68</v>
      </c>
      <c r="K16" s="43">
        <v>-1632</v>
      </c>
      <c r="L16" s="43" t="s">
        <v>69</v>
      </c>
      <c r="M16" s="44" t="s">
        <v>61</v>
      </c>
      <c r="N16" s="44"/>
      <c r="O16" s="45" t="s">
        <v>62</v>
      </c>
      <c r="P16" s="45" t="s">
        <v>63</v>
      </c>
    </row>
    <row r="17" spans="1:16" ht="12.75" customHeight="1" thickBot="1" x14ac:dyDescent="0.25">
      <c r="A17" s="10" t="str">
        <f t="shared" si="0"/>
        <v> AHSB 6.1.58 </v>
      </c>
      <c r="B17" s="3" t="str">
        <f t="shared" si="1"/>
        <v>I</v>
      </c>
      <c r="C17" s="10">
        <f t="shared" si="2"/>
        <v>28781.424999999999</v>
      </c>
      <c r="D17" s="12" t="str">
        <f t="shared" si="3"/>
        <v>vis</v>
      </c>
      <c r="E17" s="42">
        <f>VLOOKUP(C17,Active!C$21:E$973,3,FALSE)</f>
        <v>-7322.0055448899311</v>
      </c>
      <c r="F17" s="3" t="s">
        <v>55</v>
      </c>
      <c r="G17" s="12" t="str">
        <f t="shared" si="4"/>
        <v>28781.425</v>
      </c>
      <c r="H17" s="10">
        <f t="shared" si="5"/>
        <v>-1587</v>
      </c>
      <c r="I17" s="43" t="s">
        <v>70</v>
      </c>
      <c r="J17" s="44" t="s">
        <v>71</v>
      </c>
      <c r="K17" s="43">
        <v>-1587</v>
      </c>
      <c r="L17" s="43" t="s">
        <v>72</v>
      </c>
      <c r="M17" s="44" t="s">
        <v>61</v>
      </c>
      <c r="N17" s="44"/>
      <c r="O17" s="45" t="s">
        <v>62</v>
      </c>
      <c r="P17" s="45" t="s">
        <v>63</v>
      </c>
    </row>
    <row r="18" spans="1:16" ht="12.75" customHeight="1" thickBot="1" x14ac:dyDescent="0.25">
      <c r="A18" s="10" t="str">
        <f t="shared" si="0"/>
        <v> AHSB 6.1.58 </v>
      </c>
      <c r="B18" s="3" t="str">
        <f t="shared" si="1"/>
        <v>I</v>
      </c>
      <c r="C18" s="10">
        <f t="shared" si="2"/>
        <v>28807.35</v>
      </c>
      <c r="D18" s="12" t="str">
        <f t="shared" si="3"/>
        <v>vis</v>
      </c>
      <c r="E18" s="42">
        <f>VLOOKUP(C18,Active!C$21:E$973,3,FALSE)</f>
        <v>-7314.0024677569372</v>
      </c>
      <c r="F18" s="3" t="s">
        <v>55</v>
      </c>
      <c r="G18" s="12" t="str">
        <f t="shared" si="4"/>
        <v>28807.350</v>
      </c>
      <c r="H18" s="10">
        <f t="shared" si="5"/>
        <v>-1579</v>
      </c>
      <c r="I18" s="43" t="s">
        <v>73</v>
      </c>
      <c r="J18" s="44" t="s">
        <v>74</v>
      </c>
      <c r="K18" s="43">
        <v>-1579</v>
      </c>
      <c r="L18" s="43" t="s">
        <v>75</v>
      </c>
      <c r="M18" s="44" t="s">
        <v>61</v>
      </c>
      <c r="N18" s="44"/>
      <c r="O18" s="45" t="s">
        <v>62</v>
      </c>
      <c r="P18" s="45" t="s">
        <v>63</v>
      </c>
    </row>
    <row r="19" spans="1:16" ht="12.75" customHeight="1" thickBot="1" x14ac:dyDescent="0.25">
      <c r="A19" s="10" t="str">
        <f t="shared" si="0"/>
        <v> AHSB 6.1.58 </v>
      </c>
      <c r="B19" s="3" t="str">
        <f t="shared" si="1"/>
        <v>I</v>
      </c>
      <c r="C19" s="10">
        <f t="shared" si="2"/>
        <v>28859.215</v>
      </c>
      <c r="D19" s="12" t="str">
        <f t="shared" si="3"/>
        <v>vis</v>
      </c>
      <c r="E19" s="42">
        <f>VLOOKUP(C19,Active!C$21:E$973,3,FALSE)</f>
        <v>-7297.991682973804</v>
      </c>
      <c r="F19" s="3" t="s">
        <v>55</v>
      </c>
      <c r="G19" s="12" t="str">
        <f t="shared" si="4"/>
        <v>28859.215</v>
      </c>
      <c r="H19" s="10">
        <f t="shared" si="5"/>
        <v>-1563</v>
      </c>
      <c r="I19" s="43" t="s">
        <v>76</v>
      </c>
      <c r="J19" s="44" t="s">
        <v>77</v>
      </c>
      <c r="K19" s="43">
        <v>-1563</v>
      </c>
      <c r="L19" s="43" t="s">
        <v>78</v>
      </c>
      <c r="M19" s="44" t="s">
        <v>61</v>
      </c>
      <c r="N19" s="44"/>
      <c r="O19" s="45" t="s">
        <v>62</v>
      </c>
      <c r="P19" s="45" t="s">
        <v>63</v>
      </c>
    </row>
    <row r="20" spans="1:16" ht="12.75" customHeight="1" thickBot="1" x14ac:dyDescent="0.25">
      <c r="A20" s="10" t="str">
        <f t="shared" si="0"/>
        <v> AHSB 6.1.58 </v>
      </c>
      <c r="B20" s="3" t="str">
        <f t="shared" si="1"/>
        <v>I</v>
      </c>
      <c r="C20" s="10">
        <f t="shared" si="2"/>
        <v>29160.41</v>
      </c>
      <c r="D20" s="12" t="str">
        <f t="shared" si="3"/>
        <v>vis</v>
      </c>
      <c r="E20" s="42">
        <f>VLOOKUP(C20,Active!C$21:E$973,3,FALSE)</f>
        <v>-7205.0124421995697</v>
      </c>
      <c r="F20" s="3" t="s">
        <v>55</v>
      </c>
      <c r="G20" s="12" t="str">
        <f t="shared" si="4"/>
        <v>29160.410</v>
      </c>
      <c r="H20" s="10">
        <f t="shared" si="5"/>
        <v>-1470</v>
      </c>
      <c r="I20" s="43" t="s">
        <v>79</v>
      </c>
      <c r="J20" s="44" t="s">
        <v>80</v>
      </c>
      <c r="K20" s="43">
        <v>-1470</v>
      </c>
      <c r="L20" s="43" t="s">
        <v>81</v>
      </c>
      <c r="M20" s="44" t="s">
        <v>61</v>
      </c>
      <c r="N20" s="44"/>
      <c r="O20" s="45" t="s">
        <v>62</v>
      </c>
      <c r="P20" s="45" t="s">
        <v>63</v>
      </c>
    </row>
    <row r="21" spans="1:16" ht="12.75" customHeight="1" thickBot="1" x14ac:dyDescent="0.25">
      <c r="A21" s="10" t="str">
        <f t="shared" si="0"/>
        <v> AHSB 6.1.58 </v>
      </c>
      <c r="B21" s="3" t="str">
        <f t="shared" si="1"/>
        <v>I</v>
      </c>
      <c r="C21" s="10">
        <f t="shared" si="2"/>
        <v>32905.214999999997</v>
      </c>
      <c r="D21" s="12" t="str">
        <f t="shared" si="3"/>
        <v>vis</v>
      </c>
      <c r="E21" s="42">
        <f>VLOOKUP(C21,Active!C$21:E$973,3,FALSE)</f>
        <v>-6048.9868582836407</v>
      </c>
      <c r="F21" s="3" t="s">
        <v>55</v>
      </c>
      <c r="G21" s="12" t="str">
        <f t="shared" si="4"/>
        <v>32905.215</v>
      </c>
      <c r="H21" s="10">
        <f t="shared" si="5"/>
        <v>-314</v>
      </c>
      <c r="I21" s="43" t="s">
        <v>82</v>
      </c>
      <c r="J21" s="44" t="s">
        <v>83</v>
      </c>
      <c r="K21" s="43">
        <v>-314</v>
      </c>
      <c r="L21" s="43" t="s">
        <v>84</v>
      </c>
      <c r="M21" s="44" t="s">
        <v>61</v>
      </c>
      <c r="N21" s="44"/>
      <c r="O21" s="45" t="s">
        <v>62</v>
      </c>
      <c r="P21" s="45" t="s">
        <v>63</v>
      </c>
    </row>
    <row r="22" spans="1:16" ht="12.75" customHeight="1" thickBot="1" x14ac:dyDescent="0.25">
      <c r="A22" s="10" t="str">
        <f t="shared" si="0"/>
        <v> AHSB 6.1.58 </v>
      </c>
      <c r="B22" s="3" t="str">
        <f t="shared" si="1"/>
        <v>I</v>
      </c>
      <c r="C22" s="10">
        <f t="shared" si="2"/>
        <v>33504.474999999999</v>
      </c>
      <c r="D22" s="12" t="str">
        <f t="shared" si="3"/>
        <v>vis</v>
      </c>
      <c r="E22" s="42">
        <f>VLOOKUP(C22,Active!C$21:E$973,3,FALSE)</f>
        <v>-5863.9946113128472</v>
      </c>
      <c r="F22" s="3" t="s">
        <v>55</v>
      </c>
      <c r="G22" s="12" t="str">
        <f t="shared" si="4"/>
        <v>33504.475</v>
      </c>
      <c r="H22" s="10">
        <f t="shared" si="5"/>
        <v>-129</v>
      </c>
      <c r="I22" s="43" t="s">
        <v>85</v>
      </c>
      <c r="J22" s="44" t="s">
        <v>86</v>
      </c>
      <c r="K22" s="43">
        <v>-129</v>
      </c>
      <c r="L22" s="43" t="s">
        <v>87</v>
      </c>
      <c r="M22" s="44" t="s">
        <v>57</v>
      </c>
      <c r="N22" s="44"/>
      <c r="O22" s="45" t="s">
        <v>62</v>
      </c>
      <c r="P22" s="45" t="s">
        <v>63</v>
      </c>
    </row>
    <row r="23" spans="1:16" ht="12.75" customHeight="1" thickBot="1" x14ac:dyDescent="0.25">
      <c r="A23" s="10" t="str">
        <f t="shared" si="0"/>
        <v> AHSB 6.1.58 </v>
      </c>
      <c r="B23" s="3" t="str">
        <f t="shared" si="1"/>
        <v>I</v>
      </c>
      <c r="C23" s="10">
        <f t="shared" si="2"/>
        <v>33922.334999999999</v>
      </c>
      <c r="D23" s="12" t="str">
        <f t="shared" si="3"/>
        <v>vis</v>
      </c>
      <c r="E23" s="42">
        <f>VLOOKUP(C23,Active!C$21:E$973,3,FALSE)</f>
        <v>-5735.0007516872838</v>
      </c>
      <c r="F23" s="3" t="s">
        <v>55</v>
      </c>
      <c r="G23" s="12" t="str">
        <f t="shared" si="4"/>
        <v>33922.335</v>
      </c>
      <c r="H23" s="10">
        <f t="shared" si="5"/>
        <v>0</v>
      </c>
      <c r="I23" s="43" t="s">
        <v>88</v>
      </c>
      <c r="J23" s="44" t="s">
        <v>89</v>
      </c>
      <c r="K23" s="43">
        <v>0</v>
      </c>
      <c r="L23" s="43" t="s">
        <v>90</v>
      </c>
      <c r="M23" s="44" t="s">
        <v>57</v>
      </c>
      <c r="N23" s="44"/>
      <c r="O23" s="45" t="s">
        <v>62</v>
      </c>
      <c r="P23" s="45" t="s">
        <v>63</v>
      </c>
    </row>
    <row r="24" spans="1:16" ht="12.75" customHeight="1" thickBot="1" x14ac:dyDescent="0.25">
      <c r="A24" s="10" t="str">
        <f t="shared" si="0"/>
        <v> AHSB 6.1.58 </v>
      </c>
      <c r="B24" s="3" t="str">
        <f t="shared" si="1"/>
        <v>I</v>
      </c>
      <c r="C24" s="10">
        <f t="shared" si="2"/>
        <v>34602.6</v>
      </c>
      <c r="D24" s="12" t="str">
        <f t="shared" si="3"/>
        <v>vis</v>
      </c>
      <c r="E24" s="42">
        <f>VLOOKUP(C24,Active!C$21:E$973,3,FALSE)</f>
        <v>-5525.0021686255304</v>
      </c>
      <c r="F24" s="3" t="s">
        <v>55</v>
      </c>
      <c r="G24" s="12" t="str">
        <f t="shared" si="4"/>
        <v>34602.600</v>
      </c>
      <c r="H24" s="10">
        <f t="shared" si="5"/>
        <v>210</v>
      </c>
      <c r="I24" s="43" t="s">
        <v>91</v>
      </c>
      <c r="J24" s="44" t="s">
        <v>92</v>
      </c>
      <c r="K24" s="43">
        <v>210</v>
      </c>
      <c r="L24" s="43" t="s">
        <v>93</v>
      </c>
      <c r="M24" s="44" t="s">
        <v>61</v>
      </c>
      <c r="N24" s="44"/>
      <c r="O24" s="45" t="s">
        <v>62</v>
      </c>
      <c r="P24" s="45" t="s">
        <v>63</v>
      </c>
    </row>
    <row r="25" spans="1:16" ht="12.75" customHeight="1" thickBot="1" x14ac:dyDescent="0.25">
      <c r="A25" s="10" t="str">
        <f t="shared" si="0"/>
        <v> AHSB 6.1.58 </v>
      </c>
      <c r="B25" s="3" t="str">
        <f t="shared" si="1"/>
        <v>I</v>
      </c>
      <c r="C25" s="10">
        <f t="shared" si="2"/>
        <v>34628.525000000001</v>
      </c>
      <c r="D25" s="12" t="str">
        <f t="shared" si="3"/>
        <v>vis</v>
      </c>
      <c r="E25" s="42">
        <f>VLOOKUP(C25,Active!C$21:E$973,3,FALSE)</f>
        <v>-5516.9990914925356</v>
      </c>
      <c r="F25" s="3" t="s">
        <v>55</v>
      </c>
      <c r="G25" s="12" t="str">
        <f t="shared" si="4"/>
        <v>34628.525</v>
      </c>
      <c r="H25" s="10">
        <f t="shared" si="5"/>
        <v>218</v>
      </c>
      <c r="I25" s="43" t="s">
        <v>94</v>
      </c>
      <c r="J25" s="44" t="s">
        <v>95</v>
      </c>
      <c r="K25" s="43">
        <v>218</v>
      </c>
      <c r="L25" s="43" t="s">
        <v>96</v>
      </c>
      <c r="M25" s="44" t="s">
        <v>61</v>
      </c>
      <c r="N25" s="44"/>
      <c r="O25" s="45" t="s">
        <v>62</v>
      </c>
      <c r="P25" s="45" t="s">
        <v>63</v>
      </c>
    </row>
    <row r="26" spans="1:16" ht="12.75" customHeight="1" thickBot="1" x14ac:dyDescent="0.25">
      <c r="A26" s="10" t="str">
        <f t="shared" si="0"/>
        <v> AHSB 6.1.58 </v>
      </c>
      <c r="B26" s="3" t="str">
        <f t="shared" si="1"/>
        <v>I</v>
      </c>
      <c r="C26" s="10">
        <f t="shared" si="2"/>
        <v>34706.25</v>
      </c>
      <c r="D26" s="12" t="str">
        <f t="shared" si="3"/>
        <v>vis</v>
      </c>
      <c r="E26" s="42">
        <f>VLOOKUP(C26,Active!C$21:E$973,3,FALSE)</f>
        <v>-5493.0052951507059</v>
      </c>
      <c r="F26" s="3" t="s">
        <v>55</v>
      </c>
      <c r="G26" s="12" t="str">
        <f t="shared" si="4"/>
        <v>34706.250</v>
      </c>
      <c r="H26" s="10">
        <f t="shared" si="5"/>
        <v>242</v>
      </c>
      <c r="I26" s="43" t="s">
        <v>97</v>
      </c>
      <c r="J26" s="44" t="s">
        <v>98</v>
      </c>
      <c r="K26" s="43">
        <v>242</v>
      </c>
      <c r="L26" s="43" t="s">
        <v>99</v>
      </c>
      <c r="M26" s="44" t="s">
        <v>61</v>
      </c>
      <c r="N26" s="44"/>
      <c r="O26" s="45" t="s">
        <v>62</v>
      </c>
      <c r="P26" s="45" t="s">
        <v>63</v>
      </c>
    </row>
    <row r="27" spans="1:16" ht="12.75" customHeight="1" thickBot="1" x14ac:dyDescent="0.25">
      <c r="A27" s="10" t="str">
        <f t="shared" si="0"/>
        <v> AHSB 6.1.58 </v>
      </c>
      <c r="B27" s="3" t="str">
        <f t="shared" si="1"/>
        <v>I</v>
      </c>
      <c r="C27" s="10">
        <f t="shared" si="2"/>
        <v>34981.574999999997</v>
      </c>
      <c r="D27" s="12" t="str">
        <f t="shared" si="3"/>
        <v>vis</v>
      </c>
      <c r="E27" s="42">
        <f>VLOOKUP(C27,Active!C$21:E$973,3,FALSE)</f>
        <v>-5408.0121529465996</v>
      </c>
      <c r="F27" s="3" t="s">
        <v>55</v>
      </c>
      <c r="G27" s="12" t="str">
        <f t="shared" si="4"/>
        <v>34981.575</v>
      </c>
      <c r="H27" s="10">
        <f t="shared" si="5"/>
        <v>327</v>
      </c>
      <c r="I27" s="43" t="s">
        <v>100</v>
      </c>
      <c r="J27" s="44" t="s">
        <v>101</v>
      </c>
      <c r="K27" s="43">
        <v>327</v>
      </c>
      <c r="L27" s="43" t="s">
        <v>102</v>
      </c>
      <c r="M27" s="44" t="s">
        <v>61</v>
      </c>
      <c r="N27" s="44"/>
      <c r="O27" s="45" t="s">
        <v>62</v>
      </c>
      <c r="P27" s="45" t="s">
        <v>63</v>
      </c>
    </row>
    <row r="28" spans="1:16" ht="12.75" customHeight="1" thickBot="1" x14ac:dyDescent="0.25">
      <c r="A28" s="10" t="str">
        <f t="shared" si="0"/>
        <v> AHSB 6.1.58 </v>
      </c>
      <c r="B28" s="3" t="str">
        <f t="shared" si="1"/>
        <v>I</v>
      </c>
      <c r="C28" s="10">
        <f t="shared" si="2"/>
        <v>35020.49</v>
      </c>
      <c r="D28" s="12" t="str">
        <f t="shared" si="3"/>
        <v>vis</v>
      </c>
      <c r="E28" s="42">
        <f>VLOOKUP(C28,Active!C$21:E$973,3,FALSE)</f>
        <v>-5395.9990479656753</v>
      </c>
      <c r="F28" s="3" t="s">
        <v>55</v>
      </c>
      <c r="G28" s="12" t="str">
        <f t="shared" si="4"/>
        <v>35020.490</v>
      </c>
      <c r="H28" s="10">
        <f t="shared" si="5"/>
        <v>339</v>
      </c>
      <c r="I28" s="43" t="s">
        <v>103</v>
      </c>
      <c r="J28" s="44" t="s">
        <v>104</v>
      </c>
      <c r="K28" s="43">
        <v>339</v>
      </c>
      <c r="L28" s="43" t="s">
        <v>66</v>
      </c>
      <c r="M28" s="44" t="s">
        <v>61</v>
      </c>
      <c r="N28" s="44"/>
      <c r="O28" s="45" t="s">
        <v>62</v>
      </c>
      <c r="P28" s="45" t="s">
        <v>63</v>
      </c>
    </row>
    <row r="29" spans="1:16" ht="12.75" customHeight="1" thickBot="1" x14ac:dyDescent="0.25">
      <c r="A29" s="10" t="str">
        <f t="shared" si="0"/>
        <v> AHSB 6.1.58 </v>
      </c>
      <c r="B29" s="3" t="str">
        <f t="shared" si="1"/>
        <v>I</v>
      </c>
      <c r="C29" s="10">
        <f t="shared" si="2"/>
        <v>35344.410000000003</v>
      </c>
      <c r="D29" s="12" t="str">
        <f t="shared" si="3"/>
        <v>vis</v>
      </c>
      <c r="E29" s="42">
        <f>VLOOKUP(C29,Active!C$21:E$973,3,FALSE)</f>
        <v>-5296.0045737161336</v>
      </c>
      <c r="F29" s="3" t="s">
        <v>55</v>
      </c>
      <c r="G29" s="12" t="str">
        <f t="shared" si="4"/>
        <v>35344.410</v>
      </c>
      <c r="H29" s="10">
        <f t="shared" si="5"/>
        <v>439</v>
      </c>
      <c r="I29" s="43" t="s">
        <v>105</v>
      </c>
      <c r="J29" s="44" t="s">
        <v>106</v>
      </c>
      <c r="K29" s="43">
        <v>439</v>
      </c>
      <c r="L29" s="43" t="s">
        <v>107</v>
      </c>
      <c r="M29" s="44" t="s">
        <v>61</v>
      </c>
      <c r="N29" s="44"/>
      <c r="O29" s="45" t="s">
        <v>62</v>
      </c>
      <c r="P29" s="45" t="s">
        <v>63</v>
      </c>
    </row>
    <row r="30" spans="1:16" ht="12.75" customHeight="1" thickBot="1" x14ac:dyDescent="0.25">
      <c r="A30" s="10" t="str">
        <f t="shared" si="0"/>
        <v> AHSB 6.1.58 </v>
      </c>
      <c r="B30" s="3" t="str">
        <f t="shared" si="1"/>
        <v>I</v>
      </c>
      <c r="C30" s="10">
        <f t="shared" si="2"/>
        <v>35370.315000000002</v>
      </c>
      <c r="D30" s="12" t="str">
        <f t="shared" si="3"/>
        <v>vis</v>
      </c>
      <c r="E30" s="42">
        <f>VLOOKUP(C30,Active!C$21:E$973,3,FALSE)</f>
        <v>-5288.0076706060008</v>
      </c>
      <c r="F30" s="3" t="s">
        <v>55</v>
      </c>
      <c r="G30" s="12" t="str">
        <f t="shared" si="4"/>
        <v>35370.315</v>
      </c>
      <c r="H30" s="10">
        <f t="shared" si="5"/>
        <v>447</v>
      </c>
      <c r="I30" s="43" t="s">
        <v>108</v>
      </c>
      <c r="J30" s="44" t="s">
        <v>109</v>
      </c>
      <c r="K30" s="43">
        <v>447</v>
      </c>
      <c r="L30" s="43" t="s">
        <v>75</v>
      </c>
      <c r="M30" s="44" t="s">
        <v>57</v>
      </c>
      <c r="N30" s="44"/>
      <c r="O30" s="45" t="s">
        <v>62</v>
      </c>
      <c r="P30" s="45" t="s">
        <v>63</v>
      </c>
    </row>
    <row r="31" spans="1:16" ht="12.75" customHeight="1" thickBot="1" x14ac:dyDescent="0.25">
      <c r="A31" s="10" t="str">
        <f t="shared" si="0"/>
        <v> AHSB 6.1.58 </v>
      </c>
      <c r="B31" s="3" t="str">
        <f t="shared" si="1"/>
        <v>I</v>
      </c>
      <c r="C31" s="10">
        <f t="shared" si="2"/>
        <v>35399.480000000003</v>
      </c>
      <c r="D31" s="12" t="str">
        <f t="shared" si="3"/>
        <v>vis</v>
      </c>
      <c r="E31" s="42">
        <f>VLOOKUP(C31,Active!C$21:E$973,3,FALSE)</f>
        <v>-5279.0044017695973</v>
      </c>
      <c r="F31" s="3" t="s">
        <v>55</v>
      </c>
      <c r="G31" s="12" t="str">
        <f t="shared" si="4"/>
        <v>35399.480</v>
      </c>
      <c r="H31" s="10">
        <f t="shared" si="5"/>
        <v>456</v>
      </c>
      <c r="I31" s="43" t="s">
        <v>110</v>
      </c>
      <c r="J31" s="44" t="s">
        <v>111</v>
      </c>
      <c r="K31" s="43">
        <v>456</v>
      </c>
      <c r="L31" s="43" t="s">
        <v>112</v>
      </c>
      <c r="M31" s="44" t="s">
        <v>57</v>
      </c>
      <c r="N31" s="44"/>
      <c r="O31" s="45" t="s">
        <v>62</v>
      </c>
      <c r="P31" s="45" t="s">
        <v>63</v>
      </c>
    </row>
    <row r="32" spans="1:16" ht="12.75" customHeight="1" thickBot="1" x14ac:dyDescent="0.25">
      <c r="A32" s="10" t="str">
        <f t="shared" si="0"/>
        <v>IBVS 5809 </v>
      </c>
      <c r="B32" s="3" t="str">
        <f t="shared" si="1"/>
        <v>I</v>
      </c>
      <c r="C32" s="10">
        <f t="shared" si="2"/>
        <v>52607.071000000004</v>
      </c>
      <c r="D32" s="12" t="str">
        <f t="shared" si="3"/>
        <v>vis</v>
      </c>
      <c r="E32" s="42">
        <f>VLOOKUP(C32,Active!C$21:E$973,3,FALSE)</f>
        <v>32.998608683949634</v>
      </c>
      <c r="F32" s="3" t="s">
        <v>55</v>
      </c>
      <c r="G32" s="12" t="str">
        <f t="shared" si="4"/>
        <v>52607.071</v>
      </c>
      <c r="H32" s="10">
        <f t="shared" si="5"/>
        <v>5768</v>
      </c>
      <c r="I32" s="43" t="s">
        <v>113</v>
      </c>
      <c r="J32" s="44" t="s">
        <v>114</v>
      </c>
      <c r="K32" s="43">
        <v>5768</v>
      </c>
      <c r="L32" s="43" t="s">
        <v>115</v>
      </c>
      <c r="M32" s="44" t="s">
        <v>116</v>
      </c>
      <c r="N32" s="44" t="s">
        <v>55</v>
      </c>
      <c r="O32" s="45" t="s">
        <v>117</v>
      </c>
      <c r="P32" s="46" t="s">
        <v>118</v>
      </c>
    </row>
    <row r="33" spans="1:16" ht="12.75" customHeight="1" thickBot="1" x14ac:dyDescent="0.25">
      <c r="A33" s="10" t="str">
        <f t="shared" si="0"/>
        <v>IBVS 5809 </v>
      </c>
      <c r="B33" s="3" t="str">
        <f t="shared" si="1"/>
        <v>I</v>
      </c>
      <c r="C33" s="10">
        <f t="shared" si="2"/>
        <v>52610.307999999997</v>
      </c>
      <c r="D33" s="12" t="str">
        <f t="shared" si="3"/>
        <v>vis</v>
      </c>
      <c r="E33" s="42">
        <f>VLOOKUP(C33,Active!C$21:E$973,3,FALSE)</f>
        <v>33.997874283928425</v>
      </c>
      <c r="F33" s="3" t="s">
        <v>55</v>
      </c>
      <c r="G33" s="12" t="str">
        <f t="shared" si="4"/>
        <v>52610.308</v>
      </c>
      <c r="H33" s="10">
        <f t="shared" si="5"/>
        <v>5769</v>
      </c>
      <c r="I33" s="43" t="s">
        <v>119</v>
      </c>
      <c r="J33" s="44" t="s">
        <v>120</v>
      </c>
      <c r="K33" s="43">
        <v>5769</v>
      </c>
      <c r="L33" s="43" t="s">
        <v>121</v>
      </c>
      <c r="M33" s="44" t="s">
        <v>116</v>
      </c>
      <c r="N33" s="44" t="s">
        <v>55</v>
      </c>
      <c r="O33" s="45" t="s">
        <v>117</v>
      </c>
      <c r="P33" s="46" t="s">
        <v>118</v>
      </c>
    </row>
    <row r="34" spans="1:16" ht="12.75" customHeight="1" thickBot="1" x14ac:dyDescent="0.25">
      <c r="A34" s="10" t="str">
        <f t="shared" si="0"/>
        <v>BAVM 203 </v>
      </c>
      <c r="B34" s="3" t="str">
        <f t="shared" si="1"/>
        <v>II</v>
      </c>
      <c r="C34" s="10">
        <f t="shared" si="2"/>
        <v>54649.484199999999</v>
      </c>
      <c r="D34" s="12" t="str">
        <f t="shared" si="3"/>
        <v>vis</v>
      </c>
      <c r="E34" s="42">
        <f>VLOOKUP(C34,Active!C$21:E$973,3,FALSE)</f>
        <v>663.49389805885619</v>
      </c>
      <c r="F34" s="3" t="s">
        <v>55</v>
      </c>
      <c r="G34" s="12" t="str">
        <f t="shared" si="4"/>
        <v>54649.4842</v>
      </c>
      <c r="H34" s="10">
        <f t="shared" si="5"/>
        <v>6398.5</v>
      </c>
      <c r="I34" s="43" t="s">
        <v>128</v>
      </c>
      <c r="J34" s="44" t="s">
        <v>129</v>
      </c>
      <c r="K34" s="43">
        <v>6398.5</v>
      </c>
      <c r="L34" s="43" t="s">
        <v>130</v>
      </c>
      <c r="M34" s="44" t="s">
        <v>116</v>
      </c>
      <c r="N34" s="44" t="s">
        <v>131</v>
      </c>
      <c r="O34" s="45" t="s">
        <v>132</v>
      </c>
      <c r="P34" s="46" t="s">
        <v>133</v>
      </c>
    </row>
    <row r="35" spans="1:16" ht="12.75" customHeight="1" thickBot="1" x14ac:dyDescent="0.25">
      <c r="A35" s="10" t="str">
        <f t="shared" si="0"/>
        <v>BAVM 203 </v>
      </c>
      <c r="B35" s="3" t="str">
        <f t="shared" si="1"/>
        <v>I</v>
      </c>
      <c r="C35" s="10">
        <f t="shared" si="2"/>
        <v>54696.460800000001</v>
      </c>
      <c r="D35" s="12" t="str">
        <f t="shared" si="3"/>
        <v>vis</v>
      </c>
      <c r="E35" s="42">
        <f>VLOOKUP(C35,Active!C$21:E$973,3,FALSE)</f>
        <v>677.99562817441279</v>
      </c>
      <c r="F35" s="3" t="s">
        <v>55</v>
      </c>
      <c r="G35" s="12" t="str">
        <f t="shared" si="4"/>
        <v>54696.4608</v>
      </c>
      <c r="H35" s="10">
        <f t="shared" si="5"/>
        <v>6413</v>
      </c>
      <c r="I35" s="43" t="s">
        <v>134</v>
      </c>
      <c r="J35" s="44" t="s">
        <v>135</v>
      </c>
      <c r="K35" s="43" t="s">
        <v>136</v>
      </c>
      <c r="L35" s="43" t="s">
        <v>137</v>
      </c>
      <c r="M35" s="44" t="s">
        <v>116</v>
      </c>
      <c r="N35" s="44" t="s">
        <v>131</v>
      </c>
      <c r="O35" s="45" t="s">
        <v>138</v>
      </c>
      <c r="P35" s="46" t="s">
        <v>133</v>
      </c>
    </row>
    <row r="36" spans="1:16" ht="12.75" customHeight="1" thickBot="1" x14ac:dyDescent="0.25">
      <c r="A36" s="10" t="str">
        <f t="shared" si="0"/>
        <v>BAVM 212 </v>
      </c>
      <c r="B36" s="3" t="str">
        <f t="shared" si="1"/>
        <v>I</v>
      </c>
      <c r="C36" s="10">
        <f t="shared" si="2"/>
        <v>55049.5452</v>
      </c>
      <c r="D36" s="12" t="str">
        <f t="shared" si="3"/>
        <v>vis</v>
      </c>
      <c r="E36" s="42">
        <f>VLOOKUP(C36,Active!C$21:E$973,3,FALSE)</f>
        <v>786.99318603967026</v>
      </c>
      <c r="F36" s="3" t="s">
        <v>55</v>
      </c>
      <c r="G36" s="12" t="str">
        <f t="shared" si="4"/>
        <v>55049.5452</v>
      </c>
      <c r="H36" s="10">
        <f t="shared" si="5"/>
        <v>6522</v>
      </c>
      <c r="I36" s="43" t="s">
        <v>139</v>
      </c>
      <c r="J36" s="44" t="s">
        <v>140</v>
      </c>
      <c r="K36" s="43" t="s">
        <v>141</v>
      </c>
      <c r="L36" s="43" t="s">
        <v>142</v>
      </c>
      <c r="M36" s="44" t="s">
        <v>116</v>
      </c>
      <c r="N36" s="44" t="s">
        <v>143</v>
      </c>
      <c r="O36" s="45" t="s">
        <v>144</v>
      </c>
      <c r="P36" s="46" t="s">
        <v>145</v>
      </c>
    </row>
    <row r="37" spans="1:16" ht="12.75" customHeight="1" thickBot="1" x14ac:dyDescent="0.25">
      <c r="A37" s="10" t="str">
        <f t="shared" si="0"/>
        <v>BAVM 212 </v>
      </c>
      <c r="B37" s="3" t="str">
        <f t="shared" si="1"/>
        <v>I</v>
      </c>
      <c r="C37" s="10">
        <f t="shared" si="2"/>
        <v>55075.461199999998</v>
      </c>
      <c r="D37" s="12" t="str">
        <f t="shared" si="3"/>
        <v>vis</v>
      </c>
      <c r="E37" s="42">
        <f>VLOOKUP(C37,Active!C$21:E$973,3,FALSE)</f>
        <v>794.99348486237591</v>
      </c>
      <c r="F37" s="3" t="s">
        <v>55</v>
      </c>
      <c r="G37" s="12" t="str">
        <f t="shared" si="4"/>
        <v>55075.4612</v>
      </c>
      <c r="H37" s="10">
        <f t="shared" si="5"/>
        <v>6530</v>
      </c>
      <c r="I37" s="43" t="s">
        <v>146</v>
      </c>
      <c r="J37" s="44" t="s">
        <v>147</v>
      </c>
      <c r="K37" s="43" t="s">
        <v>148</v>
      </c>
      <c r="L37" s="43" t="s">
        <v>149</v>
      </c>
      <c r="M37" s="44" t="s">
        <v>116</v>
      </c>
      <c r="N37" s="44" t="s">
        <v>131</v>
      </c>
      <c r="O37" s="45" t="s">
        <v>132</v>
      </c>
      <c r="P37" s="46" t="s">
        <v>145</v>
      </c>
    </row>
    <row r="38" spans="1:16" ht="12.75" customHeight="1" thickBot="1" x14ac:dyDescent="0.25">
      <c r="A38" s="10" t="str">
        <f t="shared" si="0"/>
        <v>BAVM 225 </v>
      </c>
      <c r="B38" s="3" t="str">
        <f t="shared" si="1"/>
        <v>I</v>
      </c>
      <c r="C38" s="10">
        <f t="shared" si="2"/>
        <v>55794.607499999998</v>
      </c>
      <c r="D38" s="12" t="str">
        <f t="shared" si="3"/>
        <v>vis</v>
      </c>
      <c r="E38" s="42">
        <f>VLOOKUP(C38,Active!C$21:E$973,3,FALSE)</f>
        <v>1016.9947696765333</v>
      </c>
      <c r="F38" s="3" t="s">
        <v>55</v>
      </c>
      <c r="G38" s="12" t="str">
        <f t="shared" si="4"/>
        <v>55794.6075</v>
      </c>
      <c r="H38" s="10">
        <f t="shared" si="5"/>
        <v>6752</v>
      </c>
      <c r="I38" s="43" t="s">
        <v>150</v>
      </c>
      <c r="J38" s="44" t="s">
        <v>151</v>
      </c>
      <c r="K38" s="43" t="s">
        <v>152</v>
      </c>
      <c r="L38" s="43" t="s">
        <v>153</v>
      </c>
      <c r="M38" s="44" t="s">
        <v>116</v>
      </c>
      <c r="N38" s="44" t="s">
        <v>131</v>
      </c>
      <c r="O38" s="45" t="s">
        <v>138</v>
      </c>
      <c r="P38" s="46" t="s">
        <v>154</v>
      </c>
    </row>
    <row r="39" spans="1:16" ht="12.75" customHeight="1" thickBot="1" x14ac:dyDescent="0.25">
      <c r="A39" s="10" t="str">
        <f t="shared" si="0"/>
        <v>BAVM 225 </v>
      </c>
      <c r="B39" s="3" t="str">
        <f t="shared" si="1"/>
        <v>I</v>
      </c>
      <c r="C39" s="10">
        <f t="shared" si="2"/>
        <v>55833.481</v>
      </c>
      <c r="D39" s="12" t="str">
        <f t="shared" si="3"/>
        <v>vis</v>
      </c>
      <c r="E39" s="42">
        <f>VLOOKUP(C39,Active!C$21:E$973,3,FALSE)</f>
        <v>1028.9950635600219</v>
      </c>
      <c r="F39" s="3" t="s">
        <v>55</v>
      </c>
      <c r="G39" s="12" t="str">
        <f t="shared" si="4"/>
        <v>55833.4810</v>
      </c>
      <c r="H39" s="10">
        <f t="shared" si="5"/>
        <v>6764</v>
      </c>
      <c r="I39" s="43" t="s">
        <v>155</v>
      </c>
      <c r="J39" s="44" t="s">
        <v>156</v>
      </c>
      <c r="K39" s="43" t="s">
        <v>157</v>
      </c>
      <c r="L39" s="43" t="s">
        <v>158</v>
      </c>
      <c r="M39" s="44" t="s">
        <v>116</v>
      </c>
      <c r="N39" s="44" t="s">
        <v>131</v>
      </c>
      <c r="O39" s="45" t="s">
        <v>132</v>
      </c>
      <c r="P39" s="46" t="s">
        <v>154</v>
      </c>
    </row>
    <row r="40" spans="1:16" x14ac:dyDescent="0.2">
      <c r="B40" s="3"/>
      <c r="E40" s="42"/>
      <c r="F40" s="3"/>
    </row>
    <row r="41" spans="1:16" x14ac:dyDescent="0.2">
      <c r="B41" s="3"/>
      <c r="E41" s="42"/>
      <c r="F41" s="3"/>
    </row>
    <row r="42" spans="1:16" x14ac:dyDescent="0.2">
      <c r="B42" s="3"/>
      <c r="E42" s="42"/>
      <c r="F42" s="3"/>
    </row>
    <row r="43" spans="1:16" x14ac:dyDescent="0.2">
      <c r="B43" s="3"/>
      <c r="E43" s="42"/>
      <c r="F43" s="3"/>
    </row>
    <row r="44" spans="1:16" x14ac:dyDescent="0.2">
      <c r="B44" s="3"/>
      <c r="E44" s="42"/>
      <c r="F44" s="3"/>
    </row>
    <row r="45" spans="1:16" x14ac:dyDescent="0.2">
      <c r="B45" s="3"/>
      <c r="E45" s="42"/>
      <c r="F45" s="3"/>
    </row>
    <row r="46" spans="1:16" x14ac:dyDescent="0.2">
      <c r="B46" s="3"/>
      <c r="E46" s="42"/>
      <c r="F46" s="3"/>
    </row>
    <row r="47" spans="1:16" x14ac:dyDescent="0.2">
      <c r="B47" s="3"/>
      <c r="E47" s="42"/>
      <c r="F47" s="3"/>
    </row>
    <row r="48" spans="1:16" x14ac:dyDescent="0.2">
      <c r="B48" s="3"/>
      <c r="E48" s="42"/>
      <c r="F48" s="3"/>
    </row>
    <row r="49" spans="2:6" x14ac:dyDescent="0.2">
      <c r="B49" s="3"/>
      <c r="E49" s="42"/>
      <c r="F49" s="3"/>
    </row>
    <row r="50" spans="2:6" x14ac:dyDescent="0.2">
      <c r="B50" s="3"/>
      <c r="E50" s="42"/>
      <c r="F50" s="3"/>
    </row>
    <row r="51" spans="2:6" x14ac:dyDescent="0.2">
      <c r="B51" s="3"/>
      <c r="E51" s="42"/>
      <c r="F51" s="3"/>
    </row>
    <row r="52" spans="2:6" x14ac:dyDescent="0.2">
      <c r="B52" s="3"/>
      <c r="E52" s="42"/>
      <c r="F52" s="3"/>
    </row>
    <row r="53" spans="2:6" x14ac:dyDescent="0.2">
      <c r="B53" s="3"/>
      <c r="E53" s="42"/>
      <c r="F53" s="3"/>
    </row>
    <row r="54" spans="2:6" x14ac:dyDescent="0.2">
      <c r="B54" s="3"/>
      <c r="E54" s="42"/>
      <c r="F54" s="3"/>
    </row>
    <row r="55" spans="2:6" x14ac:dyDescent="0.2">
      <c r="B55" s="3"/>
      <c r="E55" s="42"/>
      <c r="F55" s="3"/>
    </row>
    <row r="56" spans="2:6" x14ac:dyDescent="0.2">
      <c r="B56" s="3"/>
      <c r="E56" s="42"/>
      <c r="F56" s="3"/>
    </row>
    <row r="57" spans="2:6" x14ac:dyDescent="0.2">
      <c r="B57" s="3"/>
      <c r="E57" s="42"/>
      <c r="F57" s="3"/>
    </row>
    <row r="58" spans="2:6" x14ac:dyDescent="0.2">
      <c r="B58" s="3"/>
      <c r="E58" s="42"/>
      <c r="F58" s="3"/>
    </row>
    <row r="59" spans="2:6" x14ac:dyDescent="0.2">
      <c r="B59" s="3"/>
      <c r="E59" s="42"/>
      <c r="F59" s="3"/>
    </row>
    <row r="60" spans="2:6" x14ac:dyDescent="0.2">
      <c r="B60" s="3"/>
      <c r="E60" s="42"/>
      <c r="F60" s="3"/>
    </row>
    <row r="61" spans="2:6" x14ac:dyDescent="0.2">
      <c r="B61" s="3"/>
      <c r="E61" s="42"/>
      <c r="F61" s="3"/>
    </row>
    <row r="62" spans="2:6" x14ac:dyDescent="0.2">
      <c r="B62" s="3"/>
      <c r="E62" s="42"/>
      <c r="F62" s="3"/>
    </row>
    <row r="63" spans="2:6" x14ac:dyDescent="0.2">
      <c r="B63" s="3"/>
      <c r="E63" s="42"/>
      <c r="F63" s="3"/>
    </row>
    <row r="64" spans="2:6" x14ac:dyDescent="0.2">
      <c r="B64" s="3"/>
      <c r="E64" s="42"/>
      <c r="F64" s="3"/>
    </row>
    <row r="65" spans="2:6" x14ac:dyDescent="0.2">
      <c r="B65" s="3"/>
      <c r="E65" s="42"/>
      <c r="F65" s="3"/>
    </row>
    <row r="66" spans="2:6" x14ac:dyDescent="0.2">
      <c r="B66" s="3"/>
      <c r="E66" s="42"/>
      <c r="F66" s="3"/>
    </row>
    <row r="67" spans="2:6" x14ac:dyDescent="0.2">
      <c r="B67" s="3"/>
      <c r="E67" s="42"/>
      <c r="F67" s="3"/>
    </row>
    <row r="68" spans="2:6" x14ac:dyDescent="0.2">
      <c r="B68" s="3"/>
      <c r="E68" s="42"/>
      <c r="F68" s="3"/>
    </row>
    <row r="69" spans="2:6" x14ac:dyDescent="0.2">
      <c r="B69" s="3"/>
      <c r="E69" s="42"/>
      <c r="F69" s="3"/>
    </row>
    <row r="70" spans="2:6" x14ac:dyDescent="0.2">
      <c r="B70" s="3"/>
      <c r="E70" s="42"/>
      <c r="F70" s="3"/>
    </row>
    <row r="71" spans="2:6" x14ac:dyDescent="0.2">
      <c r="B71" s="3"/>
      <c r="E71" s="42"/>
      <c r="F71" s="3"/>
    </row>
    <row r="72" spans="2:6" x14ac:dyDescent="0.2">
      <c r="B72" s="3"/>
      <c r="E72" s="42"/>
      <c r="F72" s="3"/>
    </row>
    <row r="73" spans="2:6" x14ac:dyDescent="0.2">
      <c r="B73" s="3"/>
      <c r="E73" s="42"/>
      <c r="F73" s="3"/>
    </row>
    <row r="74" spans="2:6" x14ac:dyDescent="0.2">
      <c r="B74" s="3"/>
      <c r="E74" s="42"/>
      <c r="F74" s="3"/>
    </row>
    <row r="75" spans="2:6" x14ac:dyDescent="0.2">
      <c r="B75" s="3"/>
      <c r="E75" s="42"/>
      <c r="F75" s="3"/>
    </row>
    <row r="76" spans="2:6" x14ac:dyDescent="0.2">
      <c r="B76" s="3"/>
      <c r="E76" s="42"/>
      <c r="F76" s="3"/>
    </row>
    <row r="77" spans="2:6" x14ac:dyDescent="0.2">
      <c r="B77" s="3"/>
      <c r="E77" s="42"/>
      <c r="F77" s="3"/>
    </row>
    <row r="78" spans="2:6" x14ac:dyDescent="0.2">
      <c r="B78" s="3"/>
      <c r="E78" s="42"/>
      <c r="F78" s="3"/>
    </row>
    <row r="79" spans="2:6" x14ac:dyDescent="0.2">
      <c r="B79" s="3"/>
      <c r="E79" s="42"/>
      <c r="F79" s="3"/>
    </row>
    <row r="80" spans="2:6" x14ac:dyDescent="0.2">
      <c r="B80" s="3"/>
      <c r="E80" s="42"/>
      <c r="F80" s="3"/>
    </row>
    <row r="81" spans="2:6" x14ac:dyDescent="0.2">
      <c r="B81" s="3"/>
      <c r="E81" s="42"/>
      <c r="F81" s="3"/>
    </row>
    <row r="82" spans="2:6" x14ac:dyDescent="0.2">
      <c r="B82" s="3"/>
      <c r="E82" s="42"/>
      <c r="F82" s="3"/>
    </row>
    <row r="83" spans="2:6" x14ac:dyDescent="0.2">
      <c r="B83" s="3"/>
      <c r="E83" s="42"/>
      <c r="F83" s="3"/>
    </row>
    <row r="84" spans="2:6" x14ac:dyDescent="0.2">
      <c r="B84" s="3"/>
      <c r="E84" s="42"/>
      <c r="F84" s="3"/>
    </row>
    <row r="85" spans="2:6" x14ac:dyDescent="0.2">
      <c r="B85" s="3"/>
      <c r="E85" s="42"/>
      <c r="F85" s="3"/>
    </row>
    <row r="86" spans="2:6" x14ac:dyDescent="0.2">
      <c r="B86" s="3"/>
      <c r="E86" s="42"/>
      <c r="F86" s="3"/>
    </row>
    <row r="87" spans="2:6" x14ac:dyDescent="0.2">
      <c r="B87" s="3"/>
      <c r="E87" s="42"/>
      <c r="F87" s="3"/>
    </row>
    <row r="88" spans="2:6" x14ac:dyDescent="0.2">
      <c r="B88" s="3"/>
      <c r="E88" s="42"/>
      <c r="F88" s="3"/>
    </row>
    <row r="89" spans="2:6" x14ac:dyDescent="0.2">
      <c r="B89" s="3"/>
      <c r="E89" s="42"/>
      <c r="F89" s="3"/>
    </row>
    <row r="90" spans="2:6" x14ac:dyDescent="0.2">
      <c r="B90" s="3"/>
      <c r="E90" s="42"/>
      <c r="F90" s="3"/>
    </row>
    <row r="91" spans="2:6" x14ac:dyDescent="0.2">
      <c r="B91" s="3"/>
      <c r="E91" s="42"/>
      <c r="F91" s="3"/>
    </row>
    <row r="92" spans="2:6" x14ac:dyDescent="0.2">
      <c r="B92" s="3"/>
      <c r="E92" s="42"/>
      <c r="F92" s="3"/>
    </row>
    <row r="93" spans="2:6" x14ac:dyDescent="0.2">
      <c r="B93" s="3"/>
      <c r="E93" s="42"/>
      <c r="F93" s="3"/>
    </row>
    <row r="94" spans="2:6" x14ac:dyDescent="0.2">
      <c r="B94" s="3"/>
      <c r="E94" s="42"/>
      <c r="F94" s="3"/>
    </row>
    <row r="95" spans="2:6" x14ac:dyDescent="0.2">
      <c r="B95" s="3"/>
      <c r="E95" s="42"/>
      <c r="F95" s="3"/>
    </row>
    <row r="96" spans="2:6" x14ac:dyDescent="0.2">
      <c r="B96" s="3"/>
      <c r="E96" s="42"/>
      <c r="F96" s="3"/>
    </row>
    <row r="97" spans="2:6" x14ac:dyDescent="0.2">
      <c r="B97" s="3"/>
      <c r="E97" s="42"/>
      <c r="F97" s="3"/>
    </row>
    <row r="98" spans="2:6" x14ac:dyDescent="0.2">
      <c r="B98" s="3"/>
      <c r="E98" s="42"/>
      <c r="F98" s="3"/>
    </row>
    <row r="99" spans="2:6" x14ac:dyDescent="0.2">
      <c r="B99" s="3"/>
      <c r="E99" s="42"/>
      <c r="F99" s="3"/>
    </row>
    <row r="100" spans="2:6" x14ac:dyDescent="0.2">
      <c r="B100" s="3"/>
      <c r="E100" s="42"/>
      <c r="F100" s="3"/>
    </row>
    <row r="101" spans="2:6" x14ac:dyDescent="0.2">
      <c r="B101" s="3"/>
      <c r="E101" s="42"/>
      <c r="F101" s="3"/>
    </row>
    <row r="102" spans="2:6" x14ac:dyDescent="0.2">
      <c r="B102" s="3"/>
      <c r="E102" s="42"/>
      <c r="F102" s="3"/>
    </row>
    <row r="103" spans="2:6" x14ac:dyDescent="0.2">
      <c r="B103" s="3"/>
      <c r="E103" s="42"/>
      <c r="F103" s="3"/>
    </row>
    <row r="104" spans="2:6" x14ac:dyDescent="0.2">
      <c r="B104" s="3"/>
      <c r="E104" s="42"/>
      <c r="F104" s="3"/>
    </row>
    <row r="105" spans="2:6" x14ac:dyDescent="0.2">
      <c r="B105" s="3"/>
      <c r="E105" s="42"/>
      <c r="F105" s="3"/>
    </row>
    <row r="106" spans="2:6" x14ac:dyDescent="0.2">
      <c r="B106" s="3"/>
      <c r="E106" s="42"/>
      <c r="F106" s="3"/>
    </row>
    <row r="107" spans="2:6" x14ac:dyDescent="0.2">
      <c r="B107" s="3"/>
      <c r="E107" s="42"/>
      <c r="F107" s="3"/>
    </row>
    <row r="108" spans="2:6" x14ac:dyDescent="0.2">
      <c r="B108" s="3"/>
      <c r="E108" s="42"/>
      <c r="F108" s="3"/>
    </row>
    <row r="109" spans="2:6" x14ac:dyDescent="0.2">
      <c r="B109" s="3"/>
      <c r="E109" s="42"/>
      <c r="F109" s="3"/>
    </row>
    <row r="110" spans="2:6" x14ac:dyDescent="0.2">
      <c r="B110" s="3"/>
      <c r="E110" s="42"/>
      <c r="F110" s="3"/>
    </row>
    <row r="111" spans="2:6" x14ac:dyDescent="0.2">
      <c r="B111" s="3"/>
      <c r="E111" s="42"/>
      <c r="F111" s="3"/>
    </row>
    <row r="112" spans="2:6" x14ac:dyDescent="0.2">
      <c r="B112" s="3"/>
      <c r="E112" s="42"/>
      <c r="F112" s="3"/>
    </row>
    <row r="113" spans="2:6" x14ac:dyDescent="0.2">
      <c r="B113" s="3"/>
      <c r="E113" s="42"/>
      <c r="F113" s="3"/>
    </row>
    <row r="114" spans="2:6" x14ac:dyDescent="0.2">
      <c r="B114" s="3"/>
      <c r="E114" s="42"/>
      <c r="F114" s="3"/>
    </row>
    <row r="115" spans="2:6" x14ac:dyDescent="0.2">
      <c r="B115" s="3"/>
      <c r="E115" s="42"/>
      <c r="F115" s="3"/>
    </row>
    <row r="116" spans="2:6" x14ac:dyDescent="0.2">
      <c r="B116" s="3"/>
      <c r="E116" s="42"/>
      <c r="F116" s="3"/>
    </row>
    <row r="117" spans="2:6" x14ac:dyDescent="0.2">
      <c r="B117" s="3"/>
      <c r="E117" s="42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</sheetData>
  <phoneticPr fontId="8" type="noConversion"/>
  <hyperlinks>
    <hyperlink ref="P32" r:id="rId1" display="http://www.konkoly.hu/cgi-bin/IBVS?5809"/>
    <hyperlink ref="P33" r:id="rId2" display="http://www.konkoly.hu/cgi-bin/IBVS?5809"/>
    <hyperlink ref="P11" r:id="rId3" display="http://www.konkoly.hu/cgi-bin/IBVS?5809"/>
    <hyperlink ref="P12" r:id="rId4" display="http://www.konkoly.hu/cgi-bin/IBVS?5809"/>
    <hyperlink ref="P34" r:id="rId5" display="http://www.bav-astro.de/sfs/BAVM_link.php?BAVMnr=203"/>
    <hyperlink ref="P35" r:id="rId6" display="http://www.bav-astro.de/sfs/BAVM_link.php?BAVMnr=203"/>
    <hyperlink ref="P36" r:id="rId7" display="http://www.bav-astro.de/sfs/BAVM_link.php?BAVMnr=212"/>
    <hyperlink ref="P37" r:id="rId8" display="http://www.bav-astro.de/sfs/BAVM_link.php?BAVMnr=212"/>
    <hyperlink ref="P38" r:id="rId9" display="http://www.bav-astro.de/sfs/BAVM_link.php?BAVMnr=225"/>
    <hyperlink ref="P39" r:id="rId10" display="http://www.bav-astro.de/sfs/BAVM_link.php?BAVMnr=225"/>
    <hyperlink ref="P13" r:id="rId11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2024-02-04T03:38:26Z</dcterms:modified>
</cp:coreProperties>
</file>