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3C0F611-D4BF-4D2F-BB6B-E9B999E55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BAV" sheetId="2" r:id="rId3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F4" i="4" l="1"/>
  <c r="E30" i="1"/>
  <c r="F30" i="1" s="1"/>
  <c r="G30" i="1" s="1"/>
  <c r="I30" i="1" s="1"/>
  <c r="Q30" i="1"/>
  <c r="E30" i="4"/>
  <c r="F30" i="4" s="1"/>
  <c r="Q30" i="4"/>
  <c r="F14" i="1"/>
  <c r="D11" i="4"/>
  <c r="W6" i="4" s="1"/>
  <c r="D12" i="4"/>
  <c r="W4" i="4" s="1"/>
  <c r="C7" i="4"/>
  <c r="C8" i="4"/>
  <c r="C9" i="4"/>
  <c r="D9" i="4"/>
  <c r="W10" i="4"/>
  <c r="D13" i="4"/>
  <c r="W7" i="4"/>
  <c r="C17" i="4"/>
  <c r="C21" i="4"/>
  <c r="E21" i="4"/>
  <c r="F21" i="4"/>
  <c r="Q22" i="4"/>
  <c r="Q23" i="4"/>
  <c r="Q24" i="4"/>
  <c r="Q25" i="4"/>
  <c r="Q26" i="4"/>
  <c r="Q27" i="4"/>
  <c r="Q28" i="4"/>
  <c r="Q29" i="4"/>
  <c r="E26" i="1"/>
  <c r="F26" i="1"/>
  <c r="Q25" i="1"/>
  <c r="Q26" i="1"/>
  <c r="Q27" i="1"/>
  <c r="Q28" i="1"/>
  <c r="Q29" i="1"/>
  <c r="G13" i="2"/>
  <c r="C13" i="2"/>
  <c r="G18" i="2"/>
  <c r="C18" i="2"/>
  <c r="G12" i="2"/>
  <c r="C12" i="2"/>
  <c r="G17" i="2"/>
  <c r="C17" i="2"/>
  <c r="G16" i="2"/>
  <c r="C16" i="2"/>
  <c r="G15" i="2"/>
  <c r="C15" i="2"/>
  <c r="E15" i="2"/>
  <c r="G14" i="2"/>
  <c r="C14" i="2"/>
  <c r="G11" i="2"/>
  <c r="C11" i="2"/>
  <c r="E11" i="2"/>
  <c r="H13" i="2"/>
  <c r="B13" i="2"/>
  <c r="D13" i="2"/>
  <c r="A13" i="2"/>
  <c r="H18" i="2"/>
  <c r="B18" i="2"/>
  <c r="D18" i="2"/>
  <c r="A18" i="2"/>
  <c r="H12" i="2"/>
  <c r="B12" i="2"/>
  <c r="D12" i="2"/>
  <c r="A12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1" i="2"/>
  <c r="B11" i="2"/>
  <c r="D11" i="2"/>
  <c r="A11" i="2"/>
  <c r="C9" i="1"/>
  <c r="D9" i="1"/>
  <c r="Q24" i="1"/>
  <c r="C17" i="1"/>
  <c r="Q23" i="1"/>
  <c r="E22" i="1"/>
  <c r="F22" i="1"/>
  <c r="Q22" i="1"/>
  <c r="C21" i="1"/>
  <c r="Q21" i="1"/>
  <c r="C7" i="1"/>
  <c r="C8" i="1"/>
  <c r="E24" i="1"/>
  <c r="E21" i="1"/>
  <c r="F21" i="1"/>
  <c r="G24" i="1"/>
  <c r="J24" i="1"/>
  <c r="E17" i="2"/>
  <c r="F24" i="1"/>
  <c r="E12" i="2"/>
  <c r="E18" i="2"/>
  <c r="G21" i="1"/>
  <c r="E26" i="4"/>
  <c r="F26" i="4"/>
  <c r="P26" i="4"/>
  <c r="G23" i="4"/>
  <c r="J23" i="4"/>
  <c r="E22" i="4"/>
  <c r="F22" i="4"/>
  <c r="E29" i="1"/>
  <c r="F29" i="1"/>
  <c r="G29" i="1"/>
  <c r="I29" i="1"/>
  <c r="Q21" i="4"/>
  <c r="W9" i="4"/>
  <c r="E25" i="1"/>
  <c r="F25" i="1"/>
  <c r="G28" i="1"/>
  <c r="I28" i="1"/>
  <c r="G28" i="4"/>
  <c r="I28" i="4"/>
  <c r="E27" i="4"/>
  <c r="F27" i="4"/>
  <c r="E23" i="4"/>
  <c r="F23" i="4"/>
  <c r="P23" i="4"/>
  <c r="R23" i="4" s="1"/>
  <c r="T23" i="4" s="1"/>
  <c r="W13" i="4"/>
  <c r="E28" i="1"/>
  <c r="F28" i="1"/>
  <c r="G27" i="1"/>
  <c r="I27" i="1"/>
  <c r="W3" i="4"/>
  <c r="G26" i="1"/>
  <c r="I26" i="1"/>
  <c r="E28" i="4"/>
  <c r="F28" i="4"/>
  <c r="G25" i="4"/>
  <c r="I25" i="4"/>
  <c r="E24" i="4"/>
  <c r="F24" i="4"/>
  <c r="P24" i="4"/>
  <c r="R24" i="4" s="1"/>
  <c r="T24" i="4" s="1"/>
  <c r="G21" i="4"/>
  <c r="W8" i="4"/>
  <c r="W2" i="4"/>
  <c r="E23" i="1"/>
  <c r="F23" i="1"/>
  <c r="G23" i="1"/>
  <c r="J23" i="1"/>
  <c r="U22" i="1"/>
  <c r="E27" i="1"/>
  <c r="F27" i="1"/>
  <c r="G25" i="1"/>
  <c r="I25" i="1"/>
  <c r="W14" i="4"/>
  <c r="E29" i="4"/>
  <c r="F29" i="4"/>
  <c r="E25" i="4"/>
  <c r="F25" i="4"/>
  <c r="P25" i="4"/>
  <c r="R25" i="4" s="1"/>
  <c r="T25" i="4" s="1"/>
  <c r="U22" i="4"/>
  <c r="G22" i="4"/>
  <c r="G26" i="4"/>
  <c r="I26" i="4"/>
  <c r="G29" i="4"/>
  <c r="I29" i="4"/>
  <c r="G27" i="4"/>
  <c r="I27" i="4"/>
  <c r="E13" i="2"/>
  <c r="H21" i="1"/>
  <c r="H21" i="4"/>
  <c r="G24" i="4"/>
  <c r="J24" i="4"/>
  <c r="E14" i="2"/>
  <c r="E16" i="2"/>
  <c r="R26" i="4"/>
  <c r="T26" i="4" s="1"/>
  <c r="C12" i="1"/>
  <c r="C11" i="1"/>
  <c r="F5" i="4" l="1"/>
  <c r="O30" i="1"/>
  <c r="D16" i="4"/>
  <c r="D19" i="4" s="1"/>
  <c r="G30" i="4"/>
  <c r="D15" i="4"/>
  <c r="C19" i="4" s="1"/>
  <c r="P30" i="4"/>
  <c r="R30" i="4" s="1"/>
  <c r="T30" i="4" s="1"/>
  <c r="F15" i="1"/>
  <c r="O26" i="1"/>
  <c r="O24" i="1"/>
  <c r="O29" i="1"/>
  <c r="O22" i="1"/>
  <c r="O25" i="1"/>
  <c r="O27" i="1"/>
  <c r="O28" i="1"/>
  <c r="C15" i="1"/>
  <c r="O23" i="1"/>
  <c r="O21" i="1"/>
  <c r="C16" i="1"/>
  <c r="D18" i="1" s="1"/>
  <c r="W12" i="4"/>
  <c r="P27" i="4"/>
  <c r="R27" i="4" s="1"/>
  <c r="T27" i="4" s="1"/>
  <c r="P22" i="4"/>
  <c r="R22" i="4" s="1"/>
  <c r="T22" i="4" s="1"/>
  <c r="P29" i="4"/>
  <c r="R29" i="4" s="1"/>
  <c r="T29" i="4" s="1"/>
  <c r="W5" i="4"/>
  <c r="P21" i="4"/>
  <c r="R21" i="4" s="1"/>
  <c r="T21" i="4" s="1"/>
  <c r="W11" i="4"/>
  <c r="P28" i="4"/>
  <c r="R28" i="4" s="1"/>
  <c r="T28" i="4" s="1"/>
  <c r="C11" i="4"/>
  <c r="C12" i="4"/>
  <c r="C16" i="4" l="1"/>
  <c r="D18" i="4" s="1"/>
  <c r="O30" i="4"/>
  <c r="O21" i="4"/>
  <c r="C15" i="4"/>
  <c r="O24" i="4"/>
  <c r="O28" i="4"/>
  <c r="O29" i="4"/>
  <c r="O25" i="4"/>
  <c r="O27" i="4"/>
  <c r="O22" i="4"/>
  <c r="O23" i="4"/>
  <c r="O26" i="4"/>
  <c r="I30" i="4"/>
  <c r="F16" i="1"/>
  <c r="F18" i="1" s="1"/>
  <c r="E14" i="4"/>
  <c r="C18" i="1"/>
  <c r="F6" i="4" l="1"/>
  <c r="F8" i="4" s="1"/>
  <c r="C18" i="4"/>
  <c r="F17" i="1"/>
  <c r="F7" i="4" l="1"/>
</calcChain>
</file>

<file path=xl/sharedStrings.xml><?xml version="1.0" encoding="utf-8"?>
<sst xmlns="http://schemas.openxmlformats.org/spreadsheetml/2006/main" count="231" uniqueCount="110">
  <si>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</si>
  <si>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</si>
  <si>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</si>
  <si>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</si>
  <si>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</si>
  <si>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</si>
  <si>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</si>
  <si>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</si>
  <si>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</si>
  <si>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</si>
  <si>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</si>
  <si>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</si>
  <si>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</si>
  <si>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</si>
  <si>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</si>
  <si>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</si>
  <si>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</si>
  <si>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</si>
  <si>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</si>
  <si>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</si>
  <si>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</si>
  <si>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</si>
  <si>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</si>
  <si>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</si>
  <si>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</si>
  <si>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</si>
  <si>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</si>
  <si>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</si>
  <si>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EA</t>
  </si>
  <si>
    <t>IBVS 5643</t>
  </si>
  <si>
    <t>IBVS 6070</t>
  </si>
  <si>
    <t>II</t>
  </si>
  <si>
    <t>V1013 Cyg / GSC 2677-1585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</si>
  <si>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</si>
  <si>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</si>
  <si>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</si>
  <si>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</si>
  <si>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</si>
  <si>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</si>
  <si>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</si>
  <si>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# of data points: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</si>
  <si>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</si>
  <si>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</si>
  <si>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</si>
  <si>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</si>
  <si>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</si>
  <si>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</si>
  <si>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</si>
  <si>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</si>
  <si>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</si>
  <si>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</si>
  <si>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</si>
  <si>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</si>
  <si>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2452901.5863 </t>
  </si>
  <si>
    <t> 19.09.2003 02:04 </t>
  </si>
  <si>
    <t> 0.1046 </t>
  </si>
  <si>
    <t>E </t>
  </si>
  <si>
    <t>o</t>
  </si>
  <si>
    <t> F.Agerer </t>
  </si>
  <si>
    <t>BAVM 172 </t>
  </si>
  <si>
    <t>2454298.5203 </t>
  </si>
  <si>
    <t> 17.07.2007 00:29 </t>
  </si>
  <si>
    <t> 0.1494 </t>
  </si>
  <si>
    <t>C </t>
  </si>
  <si>
    <t>-I</t>
  </si>
  <si>
    <t>BAVM 193 </t>
  </si>
  <si>
    <t>2455075.3545 </t>
  </si>
  <si>
    <t> 31.08.2009 20:30 </t>
  </si>
  <si>
    <t>4609</t>
  </si>
  <si>
    <t> 0.1541 </t>
  </si>
  <si>
    <t> P.Frank </t>
  </si>
  <si>
    <t>BAVM 212 </t>
  </si>
  <si>
    <t>2455096.4268 </t>
  </si>
  <si>
    <t> 21.09.2009 22:14 </t>
  </si>
  <si>
    <t>4613.5</t>
  </si>
  <si>
    <t> 0.1678 </t>
  </si>
  <si>
    <t>2455358.4732 </t>
  </si>
  <si>
    <t> 10.06.2010 23:21 </t>
  </si>
  <si>
    <t>4669.5</t>
  </si>
  <si>
    <t> 0.1512 </t>
  </si>
  <si>
    <t>BAVM 214 </t>
  </si>
  <si>
    <t>2455461.4398 </t>
  </si>
  <si>
    <t> 21.09.2010 22:33 </t>
  </si>
  <si>
    <t>4691.5</t>
  </si>
  <si>
    <t> 0.1645 </t>
  </si>
  <si>
    <t>BAVM 215 </t>
  </si>
  <si>
    <t>2455833.4748 </t>
  </si>
  <si>
    <t> 28.09.2011 23:23 </t>
  </si>
  <si>
    <t>4771</t>
  </si>
  <si>
    <t> 0.1637 </t>
  </si>
  <si>
    <t>BAVM 225 </t>
  </si>
  <si>
    <t>2456074.4748 </t>
  </si>
  <si>
    <t> 26.05.2012 23:23 </t>
  </si>
  <si>
    <t>4822.5</t>
  </si>
  <si>
    <t> 0.1593 </t>
  </si>
  <si>
    <t>BAVM 231 </t>
  </si>
  <si>
    <t>I</t>
  </si>
  <si>
    <t>BAD?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</si>
  <si>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</si>
  <si>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</si>
  <si>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</si>
  <si>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</si>
  <si>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</si>
  <si>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Quad fit is very specultaive</t>
  </si>
  <si>
    <t>Both sheets active</t>
  </si>
  <si>
    <t>Next ToM-P</t>
  </si>
  <si>
    <t>Next ToM-S</t>
  </si>
  <si>
    <t>BAV 91 Feb 2024</t>
  </si>
  <si>
    <t>13.30-13.80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</si>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</sst>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4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2" fillId="0" borderId="4" xfId="0" applyFont="1" applyBorder="1" applyAlignment="1">
      <alignment horizontal="center"/>
    </xf>
    <xf numFmtId="0" fontId="15" fillId="0" borderId="0" xfId="0" applyFont="1" applyAlignment="1"/>
    <xf numFmtId="14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21" xfId="0" applyFont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11" fontId="6" fillId="3" borderId="20" xfId="0" applyNumberFormat="1" applyFont="1" applyFill="1" applyBorder="1" applyAlignment="1">
      <alignment horizontal="center" vertical="center"/>
    </xf>
    <xf numFmtId="1" fontId="25" fillId="0" borderId="22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22" fontId="26" fillId="0" borderId="22" xfId="0" applyNumberFormat="1" applyFont="1" applyBorder="1" applyAlignment="1">
      <alignment horizontal="right" vertical="center"/>
    </xf>
    <xf numFmtId="22" fontId="26" fillId="0" borderId="24" xfId="0" applyNumberFormat="1" applyFont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/>
    <xf numFmtId="0" fontId="27" fillId="0" borderId="0" xfId="0" applyFont="1" applyAlignment="1">
      <alignment horizontal="left"/>
    </xf>
    <xf numFmtId="0" fontId="24" fillId="0" borderId="0" xfId="0" applyFont="1" applyBorder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0" fontId="4" fillId="3" borderId="20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V1013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8-4110-81E2-748C73971B4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4">
                  <c:v>0.14941629999520956</c:v>
                </c:pt>
                <c:pt idx="5">
                  <c:v>0.15409689999796683</c:v>
                </c:pt>
                <c:pt idx="6">
                  <c:v>0.16776535000099102</c:v>
                </c:pt>
                <c:pt idx="7">
                  <c:v>0.15119494999817107</c:v>
                </c:pt>
                <c:pt idx="8">
                  <c:v>0.16366110000672052</c:v>
                </c:pt>
                <c:pt idx="9">
                  <c:v>0.18921739999495912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98-4110-81E2-748C73971B4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2">
                  <c:v>0.15932225000142353</c:v>
                </c:pt>
                <c:pt idx="3">
                  <c:v>0.1644851499950164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98-4110-81E2-748C73971B4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98-4110-81E2-748C73971B4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98-4110-81E2-748C73971B4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98-4110-81E2-748C73971B4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98-4110-81E2-748C73971B4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3.9989761986430894E-4</c:v>
                </c:pt>
                <c:pt idx="1">
                  <c:v>0.14083641360277754</c:v>
                </c:pt>
                <c:pt idx="2">
                  <c:v>0.1638104654392874</c:v>
                </c:pt>
                <c:pt idx="3">
                  <c:v>0.15937152622013875</c:v>
                </c:pt>
                <c:pt idx="4">
                  <c:v>0.15095109571663917</c:v>
                </c:pt>
                <c:pt idx="5">
                  <c:v>0.15657601106304131</c:v>
                </c:pt>
                <c:pt idx="6">
                  <c:v>0.1567284937079739</c:v>
                </c:pt>
                <c:pt idx="7">
                  <c:v>0.15862605551157943</c:v>
                </c:pt>
                <c:pt idx="8">
                  <c:v>0.16206538628061445</c:v>
                </c:pt>
                <c:pt idx="9">
                  <c:v>0.19063046843131923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98-4110-81E2-748C73971B4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1">
                  <c:v>0.10464245000184746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98-4110-81E2-748C73971B4A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1'!$V$2:$V$25</c:f>
              <c:numCache>
                <c:formatCode>General</c:formatCode>
                <c:ptCount val="24"/>
              </c:numCache>
            </c:numRef>
          </c:xVal>
          <c:yVal>
            <c:numRef>
              <c:f>'Active 1'!$W$2:$W$25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98-4110-81E2-748C7397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28136"/>
        <c:axId val="1"/>
      </c:scatterChart>
      <c:valAx>
        <c:axId val="849928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28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62537154584272"/>
          <c:y val="0.9204921861831491"/>
          <c:w val="0.8336032632431447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V1013 Cyg - O-C Diagr.</a:t>
            </a:r>
          </a:p>
        </c:rich>
      </c:tx>
      <c:layout>
        <c:manualLayout>
          <c:xMode val="edge"/>
          <c:yMode val="edge"/>
          <c:x val="0.3570278028655141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8020055185408"/>
          <c:y val="0.13737405551578777"/>
          <c:w val="0.84498633824618075"/>
          <c:h val="0.641416050266443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C-462A-9DD2-2030EDC875F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4">
                  <c:v>0.14941629999520956</c:v>
                </c:pt>
                <c:pt idx="5">
                  <c:v>0.15409689999796683</c:v>
                </c:pt>
                <c:pt idx="6">
                  <c:v>0.16776535000099102</c:v>
                </c:pt>
                <c:pt idx="7">
                  <c:v>0.15119494999817107</c:v>
                </c:pt>
                <c:pt idx="8">
                  <c:v>0.16366110000672052</c:v>
                </c:pt>
                <c:pt idx="9">
                  <c:v>0.18921739999495912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BC-462A-9DD2-2030EDC875F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2">
                  <c:v>0.15932225000142353</c:v>
                </c:pt>
                <c:pt idx="3">
                  <c:v>0.1644851499950164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BC-462A-9DD2-2030EDC875F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BC-462A-9DD2-2030EDC875F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BC-462A-9DD2-2030EDC875F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BC-462A-9DD2-2030EDC875F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1.2E-2</c:v>
                  </c:pt>
                  <c:pt idx="3">
                    <c:v>1.32E-2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BC-462A-9DD2-2030EDC875F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-3.8948651488341368E-3</c:v>
                </c:pt>
                <c:pt idx="1">
                  <c:v>0.13720214048814075</c:v>
                </c:pt>
                <c:pt idx="2">
                  <c:v>0.1602842420255684</c:v>
                </c:pt>
                <c:pt idx="3">
                  <c:v>0.1558244259468029</c:v>
                </c:pt>
                <c:pt idx="4">
                  <c:v>0.14736439315616753</c:v>
                </c:pt>
                <c:pt idx="5">
                  <c:v>0.15301576314910703</c:v>
                </c:pt>
                <c:pt idx="6">
                  <c:v>0.15316896293807228</c:v>
                </c:pt>
                <c:pt idx="7">
                  <c:v>0.15507544920075067</c:v>
                </c:pt>
                <c:pt idx="8">
                  <c:v>0.15853095555185526</c:v>
                </c:pt>
                <c:pt idx="9">
                  <c:v>0.1872303826846746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BC-462A-9DD2-2030EDC875FA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4144.5</c:v>
                </c:pt>
                <c:pt idx="2">
                  <c:v>4822.5</c:v>
                </c:pt>
                <c:pt idx="3">
                  <c:v>4691.5</c:v>
                </c:pt>
                <c:pt idx="4">
                  <c:v>4443</c:v>
                </c:pt>
                <c:pt idx="5">
                  <c:v>4609</c:v>
                </c:pt>
                <c:pt idx="6">
                  <c:v>4613.5</c:v>
                </c:pt>
                <c:pt idx="7">
                  <c:v>4669.5</c:v>
                </c:pt>
                <c:pt idx="8">
                  <c:v>4771</c:v>
                </c:pt>
                <c:pt idx="9">
                  <c:v>5614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  <c:pt idx="1">
                  <c:v>0.10464245000184746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BC-462A-9DD2-2030EDC875FA}"/>
            </c:ext>
          </c:extLst>
        </c:ser>
        <c:ser>
          <c:idx val="9"/>
          <c:order val="9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2'!$V$2:$V$25</c:f>
              <c:numCache>
                <c:formatCode>General</c:formatCode>
                <c:ptCount val="24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</c:numCache>
            </c:numRef>
          </c:xVal>
          <c:yVal>
            <c:numRef>
              <c:f>'Active 2'!$W$2:$W$25</c:f>
              <c:numCache>
                <c:formatCode>General</c:formatCode>
                <c:ptCount val="24"/>
                <c:pt idx="0">
                  <c:v>-1.2896831289481881E-4</c:v>
                </c:pt>
                <c:pt idx="1">
                  <c:v>-6.301221032971021E-3</c:v>
                </c:pt>
                <c:pt idx="2">
                  <c:v>-6.9412201602229526E-3</c:v>
                </c:pt>
                <c:pt idx="3">
                  <c:v>-2.0489656946506181E-3</c:v>
                </c:pt>
                <c:pt idx="4">
                  <c:v>8.3755423637459775E-3</c:v>
                </c:pt>
                <c:pt idx="5">
                  <c:v>2.4332304014966839E-2</c:v>
                </c:pt>
                <c:pt idx="6">
                  <c:v>4.5821319259011985E-2</c:v>
                </c:pt>
                <c:pt idx="7">
                  <c:v>7.28425880958814E-2</c:v>
                </c:pt>
                <c:pt idx="8">
                  <c:v>0.10539611052557506</c:v>
                </c:pt>
                <c:pt idx="9">
                  <c:v>0.14348188654809299</c:v>
                </c:pt>
                <c:pt idx="10">
                  <c:v>0.18709991616343519</c:v>
                </c:pt>
                <c:pt idx="11">
                  <c:v>0.23625019937160169</c:v>
                </c:pt>
                <c:pt idx="12">
                  <c:v>0.29093273617259241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CBC-462A-9DD2-2030EDC87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39656"/>
        <c:axId val="1"/>
      </c:scatterChart>
      <c:valAx>
        <c:axId val="849939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730331785449896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39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08579157815289"/>
          <c:y val="0.92121498449057504"/>
          <c:w val="0.8739909853756163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30F885-8262-2CC1-8B0D-6A62D33B8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533400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11DA55FD-DD2B-128D-38C4-1EF29FE45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8.710937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23" ht="20.25" x14ac:dyDescent="0.3">
      <c r="A1" s="1" t="s">
        <v>32</v>
      </c>
      <c r="V1" s="57"/>
      <c r="W1" s="57"/>
    </row>
    <row r="2" spans="1:23" x14ac:dyDescent="0.2">
      <c r="A2" t="s">
        <v>24</v>
      </c>
      <c r="B2" t="s">
        <v>28</v>
      </c>
      <c r="C2" t="s">
        <v>103</v>
      </c>
      <c r="F2" s="61" t="s">
        <v>104</v>
      </c>
      <c r="V2" s="57"/>
      <c r="W2" s="57"/>
    </row>
    <row r="3" spans="1:23" ht="13.5" thickBot="1" x14ac:dyDescent="0.25">
      <c r="V3" s="57"/>
      <c r="W3" s="57"/>
    </row>
    <row r="4" spans="1:23" ht="14.25" thickTop="1" thickBot="1" x14ac:dyDescent="0.25">
      <c r="A4" s="8" t="s">
        <v>0</v>
      </c>
      <c r="C4" s="3">
        <v>33506.482000000004</v>
      </c>
      <c r="D4" s="4">
        <v>4.6796958999999996</v>
      </c>
      <c r="V4" s="57"/>
      <c r="W4" s="57"/>
    </row>
    <row r="5" spans="1:23" ht="13.5" thickTop="1" x14ac:dyDescent="0.2">
      <c r="A5" s="21" t="s">
        <v>33</v>
      </c>
      <c r="B5" s="22"/>
      <c r="C5" s="23">
        <v>-9.5</v>
      </c>
      <c r="D5" s="22" t="s">
        <v>34</v>
      </c>
      <c r="V5" s="57"/>
      <c r="W5" s="57"/>
    </row>
    <row r="6" spans="1:23" x14ac:dyDescent="0.2">
      <c r="A6" s="8" t="s">
        <v>1</v>
      </c>
      <c r="V6" s="57"/>
      <c r="W6" s="57"/>
    </row>
    <row r="7" spans="1:23" x14ac:dyDescent="0.2">
      <c r="A7" t="s">
        <v>2</v>
      </c>
      <c r="C7">
        <f>+C4</f>
        <v>33506.482000000004</v>
      </c>
      <c r="V7" s="57"/>
      <c r="W7" s="57"/>
    </row>
    <row r="8" spans="1:23" x14ac:dyDescent="0.2">
      <c r="A8" t="s">
        <v>3</v>
      </c>
      <c r="C8">
        <f>+D4</f>
        <v>4.6796958999999996</v>
      </c>
      <c r="V8" s="57"/>
      <c r="W8" s="57"/>
    </row>
    <row r="9" spans="1:23" x14ac:dyDescent="0.2">
      <c r="A9" s="27" t="s">
        <v>39</v>
      </c>
      <c r="B9" s="28">
        <v>21</v>
      </c>
      <c r="C9" s="19" t="str">
        <f>"F"&amp;B9</f>
        <v>F21</v>
      </c>
      <c r="D9" s="20" t="str">
        <f>"G"&amp;B9</f>
        <v>G21</v>
      </c>
      <c r="V9" s="57"/>
      <c r="W9" s="57"/>
    </row>
    <row r="10" spans="1:23" ht="13.5" thickBot="1" x14ac:dyDescent="0.25">
      <c r="C10" s="7" t="s">
        <v>19</v>
      </c>
      <c r="D10" s="7" t="s">
        <v>20</v>
      </c>
      <c r="V10" s="57"/>
      <c r="W10" s="57"/>
    </row>
    <row r="11" spans="1:23" x14ac:dyDescent="0.2">
      <c r="A11" t="s">
        <v>15</v>
      </c>
      <c r="C11" s="29">
        <f ca="1">INTERCEPT(INDIRECT($D$9):G992,INDIRECT($C$9):F992)</f>
        <v>3.9989761986430894E-4</v>
      </c>
      <c r="D11" s="6"/>
      <c r="V11" s="57"/>
      <c r="W11" s="57"/>
    </row>
    <row r="12" spans="1:23" x14ac:dyDescent="0.2">
      <c r="A12" t="s">
        <v>16</v>
      </c>
      <c r="C12" s="29">
        <f ca="1">SLOPE(INDIRECT($D$9):G992,INDIRECT($C$9):F992)</f>
        <v>3.38850322072417E-5</v>
      </c>
      <c r="D12" s="6"/>
      <c r="E12" s="64" t="s">
        <v>109</v>
      </c>
      <c r="F12" s="65" t="s">
        <v>108</v>
      </c>
      <c r="V12" s="57"/>
      <c r="W12" s="57"/>
    </row>
    <row r="13" spans="1:23" x14ac:dyDescent="0.2">
      <c r="A13" t="s">
        <v>18</v>
      </c>
      <c r="C13" s="6" t="s">
        <v>13</v>
      </c>
      <c r="D13" s="6"/>
      <c r="E13" s="62" t="s">
        <v>35</v>
      </c>
      <c r="F13" s="66">
        <v>1</v>
      </c>
      <c r="V13" s="57"/>
      <c r="W13" s="57"/>
    </row>
    <row r="14" spans="1:23" x14ac:dyDescent="0.2">
      <c r="A14" t="s">
        <v>23</v>
      </c>
      <c r="E14" s="62" t="s">
        <v>36</v>
      </c>
      <c r="F14" s="67">
        <f ca="1">NOW()+15018.5+$C$5/24</f>
        <v>60543.727181481481</v>
      </c>
      <c r="V14" s="57"/>
      <c r="W14" s="57"/>
    </row>
    <row r="15" spans="1:23" x14ac:dyDescent="0.2">
      <c r="A15" s="5" t="s">
        <v>17</v>
      </c>
      <c r="C15" s="13">
        <f ca="1">(C7+C11)+(C8+C12)*INT(MAX(F21:F3533))</f>
        <v>59778.485413068425</v>
      </c>
      <c r="D15" s="20"/>
      <c r="E15" s="62" t="s">
        <v>37</v>
      </c>
      <c r="F15" s="67">
        <f ca="1">ROUND(2*($F$14-$C$7)/$C$8,0)/2+$F$13</f>
        <v>5778.5</v>
      </c>
      <c r="V15" s="57"/>
      <c r="W15" s="57"/>
    </row>
    <row r="16" spans="1:23" x14ac:dyDescent="0.2">
      <c r="A16" s="8" t="s">
        <v>4</v>
      </c>
      <c r="C16" s="14">
        <f ca="1">+C8+C12</f>
        <v>4.6797297850322064</v>
      </c>
      <c r="D16" s="20"/>
      <c r="E16" s="62" t="s">
        <v>38</v>
      </c>
      <c r="F16" s="67">
        <f ca="1">ROUND(2*($F$14-$C$15)/$C$16,0)/2+$F$13</f>
        <v>164.5</v>
      </c>
      <c r="V16" s="57"/>
      <c r="W16" s="57"/>
    </row>
    <row r="17" spans="1:23" ht="13.5" thickBot="1" x14ac:dyDescent="0.25">
      <c r="A17" s="24" t="s">
        <v>40</v>
      </c>
      <c r="B17" s="22"/>
      <c r="C17" s="22">
        <f>COUNT(C21:C2191)</f>
        <v>10</v>
      </c>
      <c r="E17" s="62" t="s">
        <v>105</v>
      </c>
      <c r="F17" s="68">
        <f ca="1">+$C$15+$C$16*$F$16-15018.5-$C$5/24</f>
        <v>45530.196796039556</v>
      </c>
      <c r="V17" s="57"/>
      <c r="W17" s="57"/>
    </row>
    <row r="18" spans="1:23" ht="13.5" thickBot="1" x14ac:dyDescent="0.25">
      <c r="A18" s="8" t="s">
        <v>98</v>
      </c>
      <c r="C18" s="52">
        <f ca="1">+C15</f>
        <v>59778.485413068425</v>
      </c>
      <c r="D18" s="53">
        <f ca="1">C16</f>
        <v>4.6797297850322064</v>
      </c>
      <c r="E18" s="63" t="s">
        <v>106</v>
      </c>
      <c r="F18" s="69">
        <f ca="1">+($C$15+$C$16*$F$16)-($C$16/2)-15018.5-$C$5/24</f>
        <v>45527.856931147042</v>
      </c>
    </row>
    <row r="19" spans="1:23" x14ac:dyDescent="0.2">
      <c r="A19" s="8"/>
      <c r="E19" s="24"/>
      <c r="F19" s="26"/>
    </row>
    <row r="20" spans="1:23" ht="13.5" thickBot="1" x14ac:dyDescent="0.25">
      <c r="A20" s="7" t="s">
        <v>5</v>
      </c>
      <c r="B20" s="7" t="s">
        <v>6</v>
      </c>
      <c r="C20" s="7" t="s">
        <v>7</v>
      </c>
      <c r="D20" s="7" t="s">
        <v>12</v>
      </c>
      <c r="E20" s="7" t="s">
        <v>8</v>
      </c>
      <c r="F20" s="7" t="s">
        <v>9</v>
      </c>
      <c r="G20" s="7" t="s">
        <v>10</v>
      </c>
      <c r="H20" s="10" t="s">
        <v>49</v>
      </c>
      <c r="I20" s="10" t="s">
        <v>52</v>
      </c>
      <c r="J20" s="10" t="s">
        <v>46</v>
      </c>
      <c r="K20" s="10" t="s">
        <v>44</v>
      </c>
      <c r="L20" s="10" t="s">
        <v>25</v>
      </c>
      <c r="M20" s="10" t="s">
        <v>26</v>
      </c>
      <c r="N20" s="10" t="s">
        <v>27</v>
      </c>
      <c r="O20" s="10" t="s">
        <v>22</v>
      </c>
      <c r="P20" s="54" t="s">
        <v>21</v>
      </c>
      <c r="Q20" s="7" t="s">
        <v>14</v>
      </c>
      <c r="R20" s="10"/>
      <c r="S20" s="9"/>
      <c r="T20" s="10"/>
      <c r="U20" s="45" t="s">
        <v>97</v>
      </c>
    </row>
    <row r="21" spans="1:23" x14ac:dyDescent="0.2">
      <c r="A21" t="s">
        <v>11</v>
      </c>
      <c r="C21" s="18">
        <f>+C4</f>
        <v>33506.482000000004</v>
      </c>
      <c r="D21" s="18" t="s">
        <v>13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9" ca="1" si="3">+C$11+C$12*$F21</f>
        <v>3.9989761986430894E-4</v>
      </c>
      <c r="P21" s="55"/>
      <c r="Q21" s="56">
        <f t="shared" ref="Q21:Q29" si="4">+C21-15018.5</f>
        <v>18487.982000000004</v>
      </c>
      <c r="R21" s="57"/>
      <c r="S21" s="58"/>
      <c r="T21" s="57"/>
    </row>
    <row r="22" spans="1:23" x14ac:dyDescent="0.2">
      <c r="A22" s="11" t="s">
        <v>29</v>
      </c>
      <c r="B22" s="12"/>
      <c r="C22" s="18">
        <v>52901.586300000003</v>
      </c>
      <c r="D22" s="18">
        <v>2E-3</v>
      </c>
      <c r="E22">
        <f t="shared" si="0"/>
        <v>4144.5223609508475</v>
      </c>
      <c r="F22">
        <f t="shared" si="1"/>
        <v>4144.5</v>
      </c>
      <c r="O22">
        <f t="shared" ca="1" si="3"/>
        <v>0.14083641360277754</v>
      </c>
      <c r="P22" s="55"/>
      <c r="Q22" s="2">
        <f t="shared" si="4"/>
        <v>37883.086300000003</v>
      </c>
      <c r="R22" s="57"/>
      <c r="T22" s="57"/>
      <c r="U22">
        <f>+C22-(C$7+F22*C$8)</f>
        <v>0.10464245000184746</v>
      </c>
    </row>
    <row r="23" spans="1:23" x14ac:dyDescent="0.2">
      <c r="A23" s="15" t="s">
        <v>30</v>
      </c>
      <c r="B23" s="16" t="s">
        <v>31</v>
      </c>
      <c r="C23" s="17">
        <v>56074.474800000004</v>
      </c>
      <c r="D23" s="17">
        <v>1.2E-2</v>
      </c>
      <c r="E23">
        <f t="shared" si="0"/>
        <v>4822.5340454280376</v>
      </c>
      <c r="F23">
        <f t="shared" si="1"/>
        <v>4822.5</v>
      </c>
      <c r="G23">
        <f t="shared" si="2"/>
        <v>0.15932225000142353</v>
      </c>
      <c r="J23">
        <f>+G23</f>
        <v>0.15932225000142353</v>
      </c>
      <c r="O23">
        <f t="shared" ca="1" si="3"/>
        <v>0.1638104654392874</v>
      </c>
      <c r="P23" s="55"/>
      <c r="Q23" s="2">
        <f t="shared" si="4"/>
        <v>41055.974800000004</v>
      </c>
      <c r="R23" s="57"/>
      <c r="T23" s="57"/>
    </row>
    <row r="24" spans="1:23" x14ac:dyDescent="0.2">
      <c r="A24" s="30" t="s">
        <v>41</v>
      </c>
      <c r="B24" s="30"/>
      <c r="C24" s="31">
        <v>55461.4398</v>
      </c>
      <c r="D24" s="31">
        <v>1.32E-2</v>
      </c>
      <c r="E24">
        <f t="shared" si="0"/>
        <v>4691.5351486834861</v>
      </c>
      <c r="F24">
        <f t="shared" si="1"/>
        <v>4691.5</v>
      </c>
      <c r="G24">
        <f t="shared" si="2"/>
        <v>0.1644851499950164</v>
      </c>
      <c r="J24">
        <f>+G24</f>
        <v>0.1644851499950164</v>
      </c>
      <c r="O24">
        <f t="shared" ca="1" si="3"/>
        <v>0.15937152622013875</v>
      </c>
      <c r="P24" s="55"/>
      <c r="Q24" s="2">
        <f t="shared" si="4"/>
        <v>40442.9398</v>
      </c>
      <c r="R24" s="57"/>
      <c r="T24" s="57"/>
    </row>
    <row r="25" spans="1:23" x14ac:dyDescent="0.2">
      <c r="A25" s="59" t="s">
        <v>65</v>
      </c>
      <c r="B25" s="59" t="s">
        <v>96</v>
      </c>
      <c r="C25" s="60">
        <v>54298.520299999996</v>
      </c>
      <c r="D25" s="60" t="s">
        <v>52</v>
      </c>
      <c r="E25">
        <f t="shared" si="0"/>
        <v>4443.0319286345066</v>
      </c>
      <c r="F25">
        <f t="shared" si="1"/>
        <v>4443</v>
      </c>
      <c r="G25">
        <f t="shared" si="2"/>
        <v>0.14941629999520956</v>
      </c>
      <c r="I25">
        <f>+G25</f>
        <v>0.14941629999520956</v>
      </c>
      <c r="O25">
        <f t="shared" ca="1" si="3"/>
        <v>0.15095109571663917</v>
      </c>
      <c r="P25" s="55"/>
      <c r="Q25" s="2">
        <f t="shared" si="4"/>
        <v>39280.020299999996</v>
      </c>
      <c r="R25" s="57"/>
      <c r="T25" s="57"/>
    </row>
    <row r="26" spans="1:23" x14ac:dyDescent="0.2">
      <c r="A26" s="59" t="s">
        <v>71</v>
      </c>
      <c r="B26" s="59" t="s">
        <v>96</v>
      </c>
      <c r="C26" s="60">
        <v>55075.354500000001</v>
      </c>
      <c r="D26" s="60" t="s">
        <v>52</v>
      </c>
      <c r="E26">
        <f t="shared" si="0"/>
        <v>4609.0329288277044</v>
      </c>
      <c r="F26">
        <f t="shared" si="1"/>
        <v>4609</v>
      </c>
      <c r="G26">
        <f t="shared" si="2"/>
        <v>0.15409689999796683</v>
      </c>
      <c r="I26">
        <f>+G26</f>
        <v>0.15409689999796683</v>
      </c>
      <c r="O26">
        <f t="shared" ca="1" si="3"/>
        <v>0.15657601106304131</v>
      </c>
      <c r="P26" s="55"/>
      <c r="Q26" s="2">
        <f t="shared" si="4"/>
        <v>40056.854500000001</v>
      </c>
      <c r="R26" s="57"/>
      <c r="T26" s="57"/>
    </row>
    <row r="27" spans="1:23" x14ac:dyDescent="0.2">
      <c r="A27" s="59" t="s">
        <v>71</v>
      </c>
      <c r="B27" s="59" t="s">
        <v>31</v>
      </c>
      <c r="C27" s="60">
        <v>55096.426800000001</v>
      </c>
      <c r="D27" s="60" t="s">
        <v>52</v>
      </c>
      <c r="E27">
        <f t="shared" si="0"/>
        <v>4613.535849626468</v>
      </c>
      <c r="F27">
        <f t="shared" si="1"/>
        <v>4613.5</v>
      </c>
      <c r="G27">
        <f t="shared" si="2"/>
        <v>0.16776535000099102</v>
      </c>
      <c r="I27">
        <f>+G27</f>
        <v>0.16776535000099102</v>
      </c>
      <c r="O27">
        <f t="shared" ca="1" si="3"/>
        <v>0.1567284937079739</v>
      </c>
      <c r="P27" s="55"/>
      <c r="Q27" s="2">
        <f t="shared" si="4"/>
        <v>40077.926800000001</v>
      </c>
      <c r="R27" s="57"/>
      <c r="T27" s="57"/>
    </row>
    <row r="28" spans="1:23" x14ac:dyDescent="0.2">
      <c r="A28" s="59" t="s">
        <v>80</v>
      </c>
      <c r="B28" s="59" t="s">
        <v>31</v>
      </c>
      <c r="C28" s="60">
        <v>55358.4732</v>
      </c>
      <c r="D28" s="60" t="s">
        <v>52</v>
      </c>
      <c r="E28">
        <f t="shared" si="0"/>
        <v>4669.5323087126235</v>
      </c>
      <c r="F28">
        <f t="shared" si="1"/>
        <v>4669.5</v>
      </c>
      <c r="G28">
        <f t="shared" si="2"/>
        <v>0.15119494999817107</v>
      </c>
      <c r="I28">
        <f>+G28</f>
        <v>0.15119494999817107</v>
      </c>
      <c r="O28">
        <f t="shared" ca="1" si="3"/>
        <v>0.15862605551157943</v>
      </c>
      <c r="P28" s="55"/>
      <c r="Q28" s="2">
        <f t="shared" si="4"/>
        <v>40339.9732</v>
      </c>
      <c r="R28" s="57"/>
      <c r="T28" s="57"/>
    </row>
    <row r="29" spans="1:23" x14ac:dyDescent="0.2">
      <c r="A29" s="59" t="s">
        <v>90</v>
      </c>
      <c r="B29" s="59" t="s">
        <v>96</v>
      </c>
      <c r="C29" s="60">
        <v>55833.474800000004</v>
      </c>
      <c r="D29" s="60" t="s">
        <v>52</v>
      </c>
      <c r="E29">
        <f t="shared" si="0"/>
        <v>4771.0349725929846</v>
      </c>
      <c r="F29">
        <f t="shared" si="1"/>
        <v>4771</v>
      </c>
      <c r="G29">
        <f>+C29-(C$7+F29*C$8)</f>
        <v>0.16366110000672052</v>
      </c>
      <c r="I29">
        <f>+G29</f>
        <v>0.16366110000672052</v>
      </c>
      <c r="O29">
        <f t="shared" ca="1" si="3"/>
        <v>0.16206538628061445</v>
      </c>
      <c r="P29" s="55"/>
      <c r="Q29" s="2">
        <f t="shared" si="4"/>
        <v>40814.974800000004</v>
      </c>
      <c r="R29" s="57"/>
      <c r="T29" s="57"/>
    </row>
    <row r="30" spans="1:23" x14ac:dyDescent="0.2">
      <c r="A30" s="70" t="s">
        <v>107</v>
      </c>
      <c r="B30" s="71" t="s">
        <v>96</v>
      </c>
      <c r="C30" s="70">
        <v>59778.483999999997</v>
      </c>
      <c r="D30" s="70">
        <v>3.5000000000000001E-3</v>
      </c>
      <c r="E30">
        <f t="shared" ref="E30" si="5">+(C30-C$7)/C$8</f>
        <v>5614.0404336957017</v>
      </c>
      <c r="F30">
        <f t="shared" ref="F30" si="6">ROUND(2*E30,0)/2</f>
        <v>5614</v>
      </c>
      <c r="G30">
        <f>+C30-(C$7+F30*C$8)</f>
        <v>0.18921739999495912</v>
      </c>
      <c r="I30">
        <f>+G30</f>
        <v>0.18921739999495912</v>
      </c>
      <c r="O30">
        <f t="shared" ref="O30" ca="1" si="7">+C$11+C$12*$F30</f>
        <v>0.19063046843131923</v>
      </c>
      <c r="P30" s="55"/>
      <c r="Q30" s="2">
        <f t="shared" ref="Q30" si="8">+C30-15018.5</f>
        <v>44759.983999999997</v>
      </c>
    </row>
    <row r="31" spans="1:23" x14ac:dyDescent="0.2">
      <c r="D31" s="6"/>
      <c r="Q31" s="2"/>
    </row>
    <row r="32" spans="1:23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W52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36" sqref="D36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3.140625" customWidth="1"/>
    <col min="4" max="4" width="11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23" ht="21" thickBot="1" x14ac:dyDescent="0.35">
      <c r="A1" s="1" t="s">
        <v>32</v>
      </c>
      <c r="V1" s="7" t="s">
        <v>9</v>
      </c>
      <c r="W1" s="9" t="s">
        <v>21</v>
      </c>
    </row>
    <row r="2" spans="1:23" x14ac:dyDescent="0.2">
      <c r="A2" t="s">
        <v>24</v>
      </c>
      <c r="B2" t="s">
        <v>28</v>
      </c>
      <c r="C2" t="s">
        <v>103</v>
      </c>
      <c r="E2" s="64" t="s">
        <v>109</v>
      </c>
      <c r="F2" s="76" t="s">
        <v>108</v>
      </c>
      <c r="V2" s="57">
        <v>0</v>
      </c>
      <c r="W2" s="57">
        <f t="shared" ref="W2:W14" si="0">+D$11+D$12*V2+D$13*V2^2</f>
        <v>-1.2896831289481881E-4</v>
      </c>
    </row>
    <row r="3" spans="1:23" ht="13.5" thickBot="1" x14ac:dyDescent="0.25">
      <c r="E3" s="62" t="s">
        <v>35</v>
      </c>
      <c r="F3" s="77">
        <v>1</v>
      </c>
      <c r="V3" s="57">
        <v>500</v>
      </c>
      <c r="W3" s="57">
        <f t="shared" si="0"/>
        <v>-6.301221032971021E-3</v>
      </c>
    </row>
    <row r="4" spans="1:23" ht="14.25" thickTop="1" thickBot="1" x14ac:dyDescent="0.25">
      <c r="A4" s="8" t="s">
        <v>0</v>
      </c>
      <c r="C4" s="3">
        <v>33506.482000000004</v>
      </c>
      <c r="D4" s="4">
        <v>4.6796958999999996</v>
      </c>
      <c r="E4" s="74" t="s">
        <v>36</v>
      </c>
      <c r="F4" s="67">
        <f ca="1">NOW()+15018.5+$C$5/24</f>
        <v>60543.727181481481</v>
      </c>
      <c r="V4" s="57">
        <v>1000</v>
      </c>
      <c r="W4" s="57">
        <f t="shared" si="0"/>
        <v>-6.9412201602229526E-3</v>
      </c>
    </row>
    <row r="5" spans="1:23" ht="13.5" thickTop="1" x14ac:dyDescent="0.2">
      <c r="A5" s="21" t="s">
        <v>33</v>
      </c>
      <c r="B5" s="22"/>
      <c r="C5" s="23">
        <v>-9.5</v>
      </c>
      <c r="D5" s="22" t="s">
        <v>34</v>
      </c>
      <c r="E5" s="62" t="s">
        <v>37</v>
      </c>
      <c r="F5" s="67">
        <f ca="1">ROUND(2*($F$4-$C$7)/$C$8,0)/2+$F$3</f>
        <v>5778.5</v>
      </c>
      <c r="V5" s="57">
        <v>1500</v>
      </c>
      <c r="W5" s="57">
        <f t="shared" si="0"/>
        <v>-2.0489656946506181E-3</v>
      </c>
    </row>
    <row r="6" spans="1:23" x14ac:dyDescent="0.2">
      <c r="A6" s="8" t="s">
        <v>1</v>
      </c>
      <c r="E6" s="62" t="s">
        <v>38</v>
      </c>
      <c r="F6" s="67">
        <f ca="1">ROUND(2*($F$4-$C$15)/$C$16,0)/2+$F$3</f>
        <v>164.5</v>
      </c>
      <c r="V6" s="57">
        <v>2000</v>
      </c>
      <c r="W6" s="57">
        <f t="shared" si="0"/>
        <v>8.3755423637459775E-3</v>
      </c>
    </row>
    <row r="7" spans="1:23" x14ac:dyDescent="0.2">
      <c r="A7" t="s">
        <v>2</v>
      </c>
      <c r="C7">
        <f>+C4</f>
        <v>33506.482000000004</v>
      </c>
      <c r="E7" s="62" t="s">
        <v>105</v>
      </c>
      <c r="F7" s="68">
        <f ca="1">+$C$15+$C$16*$F$6-15018.5-$C$5/24</f>
        <v>45530.193422169417</v>
      </c>
      <c r="V7" s="57">
        <v>2500</v>
      </c>
      <c r="W7" s="57">
        <f t="shared" si="0"/>
        <v>2.4332304014966839E-2</v>
      </c>
    </row>
    <row r="8" spans="1:23" x14ac:dyDescent="0.2">
      <c r="A8" t="s">
        <v>3</v>
      </c>
      <c r="C8">
        <f>+D4</f>
        <v>4.6796958999999996</v>
      </c>
      <c r="E8" s="75" t="s">
        <v>106</v>
      </c>
      <c r="F8" s="69">
        <f ca="1">+($C$15+$C$16*$F$6)-($C$16/2)-15018.5-$C$5/24</f>
        <v>45527.853557197217</v>
      </c>
      <c r="V8" s="57">
        <v>3000</v>
      </c>
      <c r="W8" s="57">
        <f t="shared" si="0"/>
        <v>4.5821319259011985E-2</v>
      </c>
    </row>
    <row r="9" spans="1:23" x14ac:dyDescent="0.2">
      <c r="A9" s="27" t="s">
        <v>39</v>
      </c>
      <c r="B9" s="28">
        <v>21</v>
      </c>
      <c r="C9" s="19" t="str">
        <f>"F"&amp;B9</f>
        <v>F21</v>
      </c>
      <c r="D9" s="20" t="str">
        <f>"G"&amp;B9</f>
        <v>G21</v>
      </c>
      <c r="V9" s="57">
        <v>3500</v>
      </c>
      <c r="W9" s="57">
        <f t="shared" si="0"/>
        <v>7.28425880958814E-2</v>
      </c>
    </row>
    <row r="10" spans="1:23" ht="13.5" thickBot="1" x14ac:dyDescent="0.25">
      <c r="C10" s="7" t="s">
        <v>19</v>
      </c>
      <c r="D10" s="7" t="s">
        <v>20</v>
      </c>
      <c r="V10" s="57">
        <v>4000</v>
      </c>
      <c r="W10" s="57">
        <f t="shared" si="0"/>
        <v>0.10539611052557506</v>
      </c>
    </row>
    <row r="11" spans="1:23" x14ac:dyDescent="0.2">
      <c r="A11" t="s">
        <v>15</v>
      </c>
      <c r="C11" s="29">
        <f ca="1">INTERCEPT(INDIRECT($D$9):G992,INDIRECT($C$9):F992)</f>
        <v>-3.8948651488341368E-3</v>
      </c>
      <c r="D11" s="6">
        <f>+E11*F11</f>
        <v>-1.2896831289481881E-4</v>
      </c>
      <c r="E11" s="46">
        <v>-1.2896831289481881E-4</v>
      </c>
      <c r="F11">
        <v>1</v>
      </c>
      <c r="V11" s="57">
        <v>4500</v>
      </c>
      <c r="W11" s="57">
        <f t="shared" si="0"/>
        <v>0.14348188654809299</v>
      </c>
    </row>
    <row r="12" spans="1:23" x14ac:dyDescent="0.2">
      <c r="A12" t="s">
        <v>16</v>
      </c>
      <c r="C12" s="29">
        <f ca="1">SLOPE(INDIRECT($D$9):G992,INDIRECT($C$9):F992)</f>
        <v>3.4044397547828419E-5</v>
      </c>
      <c r="D12" s="6">
        <f>+E12*F12</f>
        <v>-1.7876759032976669E-5</v>
      </c>
      <c r="E12" s="47">
        <v>-0.17876759032976669</v>
      </c>
      <c r="F12" s="48">
        <v>1E-4</v>
      </c>
      <c r="V12" s="57">
        <v>5000</v>
      </c>
      <c r="W12" s="57">
        <f t="shared" si="0"/>
        <v>0.18709991616343519</v>
      </c>
    </row>
    <row r="13" spans="1:23" ht="13.5" thickBot="1" x14ac:dyDescent="0.25">
      <c r="A13" t="s">
        <v>18</v>
      </c>
      <c r="C13" s="6" t="s">
        <v>13</v>
      </c>
      <c r="D13" s="6">
        <f>+E13*F13</f>
        <v>1.1064507185648534E-8</v>
      </c>
      <c r="E13" s="49">
        <v>0.11064507185648534</v>
      </c>
      <c r="F13" s="48">
        <v>9.9999999999999995E-8</v>
      </c>
      <c r="V13" s="57">
        <v>5500</v>
      </c>
      <c r="W13" s="57">
        <f t="shared" si="0"/>
        <v>0.23625019937160169</v>
      </c>
    </row>
    <row r="14" spans="1:23" x14ac:dyDescent="0.2">
      <c r="A14" t="s">
        <v>23</v>
      </c>
      <c r="E14">
        <f>SUM(T21:T950)</f>
        <v>4.1526482743827796E-3</v>
      </c>
      <c r="V14" s="57">
        <v>6000</v>
      </c>
      <c r="W14" s="57">
        <f t="shared" si="0"/>
        <v>0.29093273617259241</v>
      </c>
    </row>
    <row r="15" spans="1:23" x14ac:dyDescent="0.2">
      <c r="A15" s="5" t="s">
        <v>17</v>
      </c>
      <c r="C15" s="13">
        <f ca="1">(C7+C11)+(C8+C12)*INT(MAX(F21:F3533))</f>
        <v>59778.482012982684</v>
      </c>
      <c r="D15" s="20">
        <f>+C7+INT(MAX(F21:F1588))*C8+D11+D12*INT(MAX(F21:F4023))+D13*INT(MAX(F21:F4050)^2)</f>
        <v>59778.543013535193</v>
      </c>
      <c r="E15" s="24"/>
      <c r="F15" s="23"/>
      <c r="V15" s="57"/>
      <c r="W15" s="57"/>
    </row>
    <row r="16" spans="1:23" x14ac:dyDescent="0.2">
      <c r="A16" s="8" t="s">
        <v>4</v>
      </c>
      <c r="C16" s="14">
        <f ca="1">+C8+C12</f>
        <v>4.6797299443975477</v>
      </c>
      <c r="D16" s="20">
        <f>+C8+D12+2*D13*MAX(F21:F896)</f>
        <v>4.6798022555276466</v>
      </c>
      <c r="E16" s="24"/>
      <c r="F16" s="25"/>
      <c r="V16" s="57"/>
      <c r="W16" s="57"/>
    </row>
    <row r="17" spans="1:23" ht="13.5" thickBot="1" x14ac:dyDescent="0.25">
      <c r="A17" s="24" t="s">
        <v>40</v>
      </c>
      <c r="B17" s="22"/>
      <c r="C17" s="22">
        <f>COUNT(C21:C2191)</f>
        <v>10</v>
      </c>
      <c r="E17" s="24"/>
      <c r="F17" s="25"/>
      <c r="V17" s="57"/>
      <c r="W17" s="57"/>
    </row>
    <row r="18" spans="1:23" ht="14.25" thickTop="1" thickBot="1" x14ac:dyDescent="0.25">
      <c r="A18" s="8" t="s">
        <v>98</v>
      </c>
      <c r="C18" s="50">
        <f ca="1">+C15</f>
        <v>59778.482012982684</v>
      </c>
      <c r="D18" s="51">
        <f ca="1">C16</f>
        <v>4.6797299443975477</v>
      </c>
      <c r="E18" s="24"/>
      <c r="F18" s="20"/>
    </row>
    <row r="19" spans="1:23" ht="13.5" thickBot="1" x14ac:dyDescent="0.25">
      <c r="A19" s="8" t="s">
        <v>99</v>
      </c>
      <c r="C19" s="52">
        <f>+D15</f>
        <v>59778.543013535193</v>
      </c>
      <c r="D19" s="53">
        <f>+D16</f>
        <v>4.6798022555276466</v>
      </c>
      <c r="E19" s="24"/>
      <c r="F19" s="26"/>
    </row>
    <row r="20" spans="1:23" ht="15" thickBot="1" x14ac:dyDescent="0.25">
      <c r="A20" s="7" t="s">
        <v>5</v>
      </c>
      <c r="B20" s="7" t="s">
        <v>6</v>
      </c>
      <c r="C20" s="7" t="s">
        <v>7</v>
      </c>
      <c r="D20" s="7" t="s">
        <v>12</v>
      </c>
      <c r="E20" s="7" t="s">
        <v>8</v>
      </c>
      <c r="F20" s="7" t="s">
        <v>9</v>
      </c>
      <c r="G20" s="7" t="s">
        <v>10</v>
      </c>
      <c r="H20" s="10" t="s">
        <v>49</v>
      </c>
      <c r="I20" s="10" t="s">
        <v>52</v>
      </c>
      <c r="J20" s="10" t="s">
        <v>46</v>
      </c>
      <c r="K20" s="10" t="s">
        <v>44</v>
      </c>
      <c r="L20" s="10" t="s">
        <v>25</v>
      </c>
      <c r="M20" s="10" t="s">
        <v>26</v>
      </c>
      <c r="N20" s="10" t="s">
        <v>27</v>
      </c>
      <c r="O20" s="10" t="s">
        <v>22</v>
      </c>
      <c r="P20" s="54" t="s">
        <v>21</v>
      </c>
      <c r="Q20" s="7" t="s">
        <v>14</v>
      </c>
      <c r="R20" s="10" t="s">
        <v>100</v>
      </c>
      <c r="S20" s="9" t="s">
        <v>101</v>
      </c>
      <c r="T20" s="10" t="s">
        <v>102</v>
      </c>
      <c r="U20" s="45" t="s">
        <v>97</v>
      </c>
    </row>
    <row r="21" spans="1:23" x14ac:dyDescent="0.2">
      <c r="A21" t="s">
        <v>11</v>
      </c>
      <c r="C21" s="18">
        <f>+C4</f>
        <v>33506.482000000004</v>
      </c>
      <c r="D21" s="18" t="s">
        <v>13</v>
      </c>
      <c r="E21">
        <f t="shared" ref="E21:E29" si="1">+(C21-C$7)/C$8</f>
        <v>0</v>
      </c>
      <c r="F21">
        <f t="shared" ref="F21:F29" si="2">ROUND(2*E21,0)/2</f>
        <v>0</v>
      </c>
      <c r="G21">
        <f t="shared" ref="G21:G29" si="3">+C21-(C$7+F21*C$8)</f>
        <v>0</v>
      </c>
      <c r="H21">
        <f>+G21</f>
        <v>0</v>
      </c>
      <c r="O21">
        <f t="shared" ref="O21:O29" ca="1" si="4">+C$11+C$12*$F21</f>
        <v>-3.8948651488341368E-3</v>
      </c>
      <c r="P21" s="55">
        <f t="shared" ref="P21:P29" si="5">+D$11+D$12*F21+D$13*F21^2</f>
        <v>-1.2896831289481881E-4</v>
      </c>
      <c r="Q21" s="56">
        <f t="shared" ref="Q21:Q29" si="6">+C21-15018.5</f>
        <v>18487.982000000004</v>
      </c>
      <c r="R21" s="57">
        <f t="shared" ref="R21:R29" si="7">+(P21-G21)^2</f>
        <v>1.6632825730935886E-8</v>
      </c>
      <c r="S21" s="58">
        <v>1</v>
      </c>
      <c r="T21" s="57">
        <f t="shared" ref="T21:T29" si="8">+S21*R21</f>
        <v>1.6632825730935886E-8</v>
      </c>
    </row>
    <row r="22" spans="1:23" x14ac:dyDescent="0.2">
      <c r="A22" s="11" t="s">
        <v>29</v>
      </c>
      <c r="B22" s="12"/>
      <c r="C22" s="18">
        <v>52901.586300000003</v>
      </c>
      <c r="D22" s="18">
        <v>2E-3</v>
      </c>
      <c r="E22">
        <f t="shared" si="1"/>
        <v>4144.5223609508475</v>
      </c>
      <c r="F22">
        <f t="shared" si="2"/>
        <v>4144.5</v>
      </c>
      <c r="G22">
        <f t="shared" si="3"/>
        <v>0.10464245000184746</v>
      </c>
      <c r="O22">
        <f t="shared" ca="1" si="4"/>
        <v>0.13720214048814075</v>
      </c>
      <c r="P22" s="55">
        <f t="shared" si="5"/>
        <v>0.11583451882808275</v>
      </c>
      <c r="Q22" s="2">
        <f t="shared" si="6"/>
        <v>37883.086300000003</v>
      </c>
      <c r="R22" s="57">
        <f t="shared" si="7"/>
        <v>1.2526240461118774E-4</v>
      </c>
      <c r="S22" s="6">
        <v>1</v>
      </c>
      <c r="T22" s="57">
        <f t="shared" si="8"/>
        <v>1.2526240461118774E-4</v>
      </c>
      <c r="U22">
        <f>+C22-(C$7+F22*C$8)</f>
        <v>0.10464245000184746</v>
      </c>
    </row>
    <row r="23" spans="1:23" x14ac:dyDescent="0.2">
      <c r="A23" s="15" t="s">
        <v>30</v>
      </c>
      <c r="B23" s="16" t="s">
        <v>31</v>
      </c>
      <c r="C23" s="17">
        <v>56074.474800000004</v>
      </c>
      <c r="D23" s="17">
        <v>1.2E-2</v>
      </c>
      <c r="E23">
        <f t="shared" si="1"/>
        <v>4822.5340454280376</v>
      </c>
      <c r="F23">
        <f t="shared" si="2"/>
        <v>4822.5</v>
      </c>
      <c r="G23">
        <f t="shared" si="3"/>
        <v>0.15932225000142353</v>
      </c>
      <c r="J23">
        <f>+G23</f>
        <v>0.15932225000142353</v>
      </c>
      <c r="O23">
        <f t="shared" ca="1" si="4"/>
        <v>0.1602842420255684</v>
      </c>
      <c r="P23" s="55">
        <f t="shared" si="5"/>
        <v>0.17098214176678023</v>
      </c>
      <c r="Q23" s="2">
        <f t="shared" si="6"/>
        <v>41055.974800000004</v>
      </c>
      <c r="R23" s="57">
        <f t="shared" si="7"/>
        <v>1.3595307597983298E-4</v>
      </c>
      <c r="S23" s="6">
        <v>1</v>
      </c>
      <c r="T23" s="57">
        <f t="shared" si="8"/>
        <v>1.3595307597983298E-4</v>
      </c>
    </row>
    <row r="24" spans="1:23" x14ac:dyDescent="0.2">
      <c r="A24" s="30" t="s">
        <v>41</v>
      </c>
      <c r="B24" s="30"/>
      <c r="C24" s="31">
        <v>55461.4398</v>
      </c>
      <c r="D24" s="31">
        <v>1.32E-2</v>
      </c>
      <c r="E24">
        <f t="shared" si="1"/>
        <v>4691.5351486834861</v>
      </c>
      <c r="F24">
        <f t="shared" si="2"/>
        <v>4691.5</v>
      </c>
      <c r="G24">
        <f t="shared" si="3"/>
        <v>0.1644851499950164</v>
      </c>
      <c r="J24">
        <f>+G24</f>
        <v>0.1644851499950164</v>
      </c>
      <c r="O24">
        <f t="shared" ca="1" si="4"/>
        <v>0.1558244259468029</v>
      </c>
      <c r="P24" s="55">
        <f t="shared" si="5"/>
        <v>0.15953392570138211</v>
      </c>
      <c r="Q24" s="2">
        <f t="shared" si="6"/>
        <v>40442.9398</v>
      </c>
      <c r="R24" s="57">
        <f t="shared" si="7"/>
        <v>2.4514622005874351E-5</v>
      </c>
      <c r="S24" s="6">
        <v>1</v>
      </c>
      <c r="T24" s="57">
        <f t="shared" si="8"/>
        <v>2.4514622005874351E-5</v>
      </c>
    </row>
    <row r="25" spans="1:23" x14ac:dyDescent="0.2">
      <c r="A25" s="59" t="s">
        <v>65</v>
      </c>
      <c r="B25" s="59" t="s">
        <v>96</v>
      </c>
      <c r="C25" s="60">
        <v>54298.520299999996</v>
      </c>
      <c r="D25" s="60" t="s">
        <v>52</v>
      </c>
      <c r="E25">
        <f t="shared" si="1"/>
        <v>4443.0319286345066</v>
      </c>
      <c r="F25">
        <f t="shared" si="2"/>
        <v>4443</v>
      </c>
      <c r="G25">
        <f t="shared" si="3"/>
        <v>0.14941629999520956</v>
      </c>
      <c r="I25">
        <f>+G25</f>
        <v>0.14941629999520956</v>
      </c>
      <c r="O25">
        <f t="shared" ca="1" si="4"/>
        <v>0.14736439315616753</v>
      </c>
      <c r="P25" s="55">
        <f t="shared" si="5"/>
        <v>0.1388607182105811</v>
      </c>
      <c r="Q25" s="2">
        <f t="shared" si="6"/>
        <v>39280.020299999996</v>
      </c>
      <c r="R25" s="57">
        <f t="shared" si="7"/>
        <v>1.1142030681198001E-4</v>
      </c>
      <c r="S25" s="6">
        <v>1</v>
      </c>
      <c r="T25" s="57">
        <f t="shared" si="8"/>
        <v>1.1142030681198001E-4</v>
      </c>
    </row>
    <row r="26" spans="1:23" x14ac:dyDescent="0.2">
      <c r="A26" s="59" t="s">
        <v>71</v>
      </c>
      <c r="B26" s="59" t="s">
        <v>96</v>
      </c>
      <c r="C26" s="60">
        <v>55075.354500000001</v>
      </c>
      <c r="D26" s="60" t="s">
        <v>52</v>
      </c>
      <c r="E26">
        <f t="shared" si="1"/>
        <v>4609.0329288277044</v>
      </c>
      <c r="F26">
        <f t="shared" si="2"/>
        <v>4609</v>
      </c>
      <c r="G26">
        <f t="shared" si="3"/>
        <v>0.15409689999796683</v>
      </c>
      <c r="I26">
        <f>+G26</f>
        <v>0.15409689999796683</v>
      </c>
      <c r="O26">
        <f t="shared" ca="1" si="4"/>
        <v>0.15301576314910703</v>
      </c>
      <c r="P26" s="55">
        <f t="shared" si="5"/>
        <v>0.15251905877249244</v>
      </c>
      <c r="Q26" s="2">
        <f t="shared" si="6"/>
        <v>40056.854500000001</v>
      </c>
      <c r="R26" s="57">
        <f t="shared" si="7"/>
        <v>2.4895829328065111E-6</v>
      </c>
      <c r="S26" s="6">
        <v>1</v>
      </c>
      <c r="T26" s="57">
        <f t="shared" si="8"/>
        <v>2.4895829328065111E-6</v>
      </c>
    </row>
    <row r="27" spans="1:23" x14ac:dyDescent="0.2">
      <c r="A27" s="59" t="s">
        <v>71</v>
      </c>
      <c r="B27" s="59" t="s">
        <v>31</v>
      </c>
      <c r="C27" s="60">
        <v>55096.426800000001</v>
      </c>
      <c r="D27" s="60" t="s">
        <v>52</v>
      </c>
      <c r="E27">
        <f t="shared" si="1"/>
        <v>4613.535849626468</v>
      </c>
      <c r="F27">
        <f t="shared" si="2"/>
        <v>4613.5</v>
      </c>
      <c r="G27">
        <f t="shared" si="3"/>
        <v>0.16776535000099102</v>
      </c>
      <c r="I27">
        <f>+G27</f>
        <v>0.16776535000099102</v>
      </c>
      <c r="O27">
        <f t="shared" ca="1" si="4"/>
        <v>0.15316896293807228</v>
      </c>
      <c r="P27" s="55">
        <f t="shared" si="5"/>
        <v>0.15289780423568244</v>
      </c>
      <c r="Q27" s="2">
        <f t="shared" si="6"/>
        <v>40077.926800000001</v>
      </c>
      <c r="R27" s="57">
        <f t="shared" si="7"/>
        <v>2.2104391708354499E-4</v>
      </c>
      <c r="S27" s="6">
        <v>1</v>
      </c>
      <c r="T27" s="57">
        <f t="shared" si="8"/>
        <v>2.2104391708354499E-4</v>
      </c>
    </row>
    <row r="28" spans="1:23" x14ac:dyDescent="0.2">
      <c r="A28" s="59" t="s">
        <v>80</v>
      </c>
      <c r="B28" s="59" t="s">
        <v>31</v>
      </c>
      <c r="C28" s="60">
        <v>55358.4732</v>
      </c>
      <c r="D28" s="60" t="s">
        <v>52</v>
      </c>
      <c r="E28">
        <f t="shared" si="1"/>
        <v>4669.5323087126235</v>
      </c>
      <c r="F28">
        <f t="shared" si="2"/>
        <v>4669.5</v>
      </c>
      <c r="G28">
        <f t="shared" si="3"/>
        <v>0.15119494999817107</v>
      </c>
      <c r="I28">
        <f>+G28</f>
        <v>0.15119494999817107</v>
      </c>
      <c r="O28">
        <f t="shared" ca="1" si="4"/>
        <v>0.15507544920075067</v>
      </c>
      <c r="P28" s="55">
        <f t="shared" si="5"/>
        <v>0.15764856766128077</v>
      </c>
      <c r="Q28" s="2">
        <f t="shared" si="6"/>
        <v>40339.9732</v>
      </c>
      <c r="R28" s="57">
        <f t="shared" si="7"/>
        <v>4.1649180941601519E-5</v>
      </c>
      <c r="S28" s="6">
        <v>1</v>
      </c>
      <c r="T28" s="57">
        <f t="shared" si="8"/>
        <v>4.1649180941601519E-5</v>
      </c>
    </row>
    <row r="29" spans="1:23" x14ac:dyDescent="0.2">
      <c r="A29" s="59" t="s">
        <v>90</v>
      </c>
      <c r="B29" s="59" t="s">
        <v>96</v>
      </c>
      <c r="C29" s="60">
        <v>55833.474800000004</v>
      </c>
      <c r="D29" s="60" t="s">
        <v>52</v>
      </c>
      <c r="E29">
        <f t="shared" si="1"/>
        <v>4771.0349725929846</v>
      </c>
      <c r="F29">
        <f t="shared" si="2"/>
        <v>4771</v>
      </c>
      <c r="G29">
        <f t="shared" si="3"/>
        <v>0.16366110000672052</v>
      </c>
      <c r="I29">
        <f>+G29</f>
        <v>0.16366110000672052</v>
      </c>
      <c r="O29">
        <f t="shared" ca="1" si="4"/>
        <v>0.15853095555185526</v>
      </c>
      <c r="P29" s="55">
        <f t="shared" si="5"/>
        <v>0.1664362063481743</v>
      </c>
      <c r="Q29" s="2">
        <f t="shared" si="6"/>
        <v>40814.974800000004</v>
      </c>
      <c r="R29" s="57">
        <f t="shared" si="7"/>
        <v>7.7012152063769919E-6</v>
      </c>
      <c r="S29" s="6">
        <v>1</v>
      </c>
      <c r="T29" s="57">
        <f t="shared" si="8"/>
        <v>7.7012152063769919E-6</v>
      </c>
    </row>
    <row r="30" spans="1:23" x14ac:dyDescent="0.2">
      <c r="A30" s="72" t="s">
        <v>107</v>
      </c>
      <c r="B30" s="72" t="s">
        <v>96</v>
      </c>
      <c r="C30" s="73">
        <v>59778.483999999997</v>
      </c>
      <c r="D30" s="73">
        <v>3.5000000000000001E-3</v>
      </c>
      <c r="E30">
        <f t="shared" ref="E30" si="9">+(C30-C$7)/C$8</f>
        <v>5614.0404336957017</v>
      </c>
      <c r="F30">
        <f t="shared" ref="F30" si="10">ROUND(2*E30,0)/2</f>
        <v>5614</v>
      </c>
      <c r="G30">
        <f t="shared" ref="G30" si="11">+C30-(C$7+F30*C$8)</f>
        <v>0.18921739999495912</v>
      </c>
      <c r="I30">
        <f>+G30</f>
        <v>0.18921739999495912</v>
      </c>
      <c r="O30">
        <f t="shared" ref="O30" ca="1" si="12">+C$11+C$12*$F30</f>
        <v>0.1872303826846746</v>
      </c>
      <c r="P30" s="55">
        <f t="shared" ref="P30" si="13">+D$11+D$12*F30+D$13*F30^2</f>
        <v>0.24823093518803024</v>
      </c>
      <c r="Q30" s="2">
        <f t="shared" ref="Q30" si="14">+C30-15018.5</f>
        <v>44759.983999999997</v>
      </c>
      <c r="R30" s="57">
        <f t="shared" ref="R30" si="15">+(P30-G30)^2</f>
        <v>3.4825973359838436E-3</v>
      </c>
      <c r="S30" s="6">
        <v>1</v>
      </c>
      <c r="T30" s="57">
        <f t="shared" ref="T30" si="16">+S30*R30</f>
        <v>3.4825973359838436E-3</v>
      </c>
    </row>
    <row r="31" spans="1:23" x14ac:dyDescent="0.2">
      <c r="D31" s="6"/>
      <c r="Q31" s="2"/>
    </row>
    <row r="32" spans="1:23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2"/>
  <sheetViews>
    <sheetView workbookViewId="0">
      <selection activeCell="A14" sqref="A14:D18"/>
    </sheetView>
  </sheetViews>
  <sheetFormatPr defaultRowHeight="12.75" x14ac:dyDescent="0.2"/>
  <cols>
    <col min="1" max="1" width="19.7109375" style="18" customWidth="1"/>
    <col min="2" max="2" width="4.42578125" style="22" customWidth="1"/>
    <col min="3" max="3" width="12.7109375" style="18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8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32" t="s">
        <v>42</v>
      </c>
      <c r="I1" s="33" t="s">
        <v>43</v>
      </c>
      <c r="J1" s="34" t="s">
        <v>44</v>
      </c>
    </row>
    <row r="2" spans="1:16" x14ac:dyDescent="0.2">
      <c r="I2" s="35" t="s">
        <v>45</v>
      </c>
      <c r="J2" s="36" t="s">
        <v>46</v>
      </c>
    </row>
    <row r="3" spans="1:16" x14ac:dyDescent="0.2">
      <c r="A3" s="37" t="s">
        <v>47</v>
      </c>
      <c r="I3" s="35" t="s">
        <v>48</v>
      </c>
      <c r="J3" s="36" t="s">
        <v>49</v>
      </c>
    </row>
    <row r="4" spans="1:16" x14ac:dyDescent="0.2">
      <c r="I4" s="35" t="s">
        <v>50</v>
      </c>
      <c r="J4" s="36" t="s">
        <v>49</v>
      </c>
    </row>
    <row r="5" spans="1:16" ht="13.5" thickBot="1" x14ac:dyDescent="0.25">
      <c r="I5" s="38" t="s">
        <v>51</v>
      </c>
      <c r="J5" s="39" t="s">
        <v>52</v>
      </c>
    </row>
    <row r="10" spans="1:16" ht="13.5" thickBot="1" x14ac:dyDescent="0.25"/>
    <row r="11" spans="1:16" ht="12.75" customHeight="1" thickBot="1" x14ac:dyDescent="0.25">
      <c r="A11" s="18" t="str">
        <f t="shared" ref="A11:A18" si="0">P11</f>
        <v>BAVM 172 </v>
      </c>
      <c r="B11" s="6" t="str">
        <f t="shared" ref="B11:B18" si="1">IF(H11=INT(H11),"I","II")</f>
        <v>II</v>
      </c>
      <c r="C11" s="18">
        <f t="shared" ref="C11:C18" si="2">1*G11</f>
        <v>52901.586300000003</v>
      </c>
      <c r="D11" s="22" t="str">
        <f t="shared" ref="D11:D18" si="3">VLOOKUP(F11,I$1:J$5,2,FALSE)</f>
        <v>vis</v>
      </c>
      <c r="E11" s="40">
        <f>VLOOKUP(C11,'Active 1'!C$21:E$973,3,FALSE)</f>
        <v>4144.5223609508475</v>
      </c>
      <c r="F11" s="6" t="s">
        <v>51</v>
      </c>
      <c r="G11" s="22" t="str">
        <f t="shared" ref="G11:G18" si="4">MID(I11,3,LEN(I11)-3)</f>
        <v>52901.5863</v>
      </c>
      <c r="H11" s="18">
        <f t="shared" ref="H11:H18" si="5">1*K11</f>
        <v>4144.5</v>
      </c>
      <c r="I11" s="41" t="s">
        <v>53</v>
      </c>
      <c r="J11" s="42" t="s">
        <v>54</v>
      </c>
      <c r="K11" s="41">
        <v>4144.5</v>
      </c>
      <c r="L11" s="41" t="s">
        <v>55</v>
      </c>
      <c r="M11" s="42" t="s">
        <v>56</v>
      </c>
      <c r="N11" s="42" t="s">
        <v>57</v>
      </c>
      <c r="O11" s="43" t="s">
        <v>58</v>
      </c>
      <c r="P11" s="44" t="s">
        <v>59</v>
      </c>
    </row>
    <row r="12" spans="1:16" ht="12.75" customHeight="1" thickBot="1" x14ac:dyDescent="0.25">
      <c r="A12" s="18" t="str">
        <f t="shared" si="0"/>
        <v>BAVM 215 </v>
      </c>
      <c r="B12" s="6" t="str">
        <f t="shared" si="1"/>
        <v>II</v>
      </c>
      <c r="C12" s="18">
        <f t="shared" si="2"/>
        <v>55461.4398</v>
      </c>
      <c r="D12" s="22" t="str">
        <f t="shared" si="3"/>
        <v>vis</v>
      </c>
      <c r="E12" s="40">
        <f>VLOOKUP(C12,'Active 1'!C$21:E$973,3,FALSE)</f>
        <v>4691.5351486834861</v>
      </c>
      <c r="F12" s="6" t="s">
        <v>51</v>
      </c>
      <c r="G12" s="22" t="str">
        <f t="shared" si="4"/>
        <v>55461.4398</v>
      </c>
      <c r="H12" s="18">
        <f t="shared" si="5"/>
        <v>4691.5</v>
      </c>
      <c r="I12" s="41" t="s">
        <v>81</v>
      </c>
      <c r="J12" s="42" t="s">
        <v>82</v>
      </c>
      <c r="K12" s="41" t="s">
        <v>83</v>
      </c>
      <c r="L12" s="41" t="s">
        <v>84</v>
      </c>
      <c r="M12" s="42" t="s">
        <v>63</v>
      </c>
      <c r="N12" s="42" t="s">
        <v>64</v>
      </c>
      <c r="O12" s="43" t="s">
        <v>58</v>
      </c>
      <c r="P12" s="44" t="s">
        <v>85</v>
      </c>
    </row>
    <row r="13" spans="1:16" ht="12.75" customHeight="1" thickBot="1" x14ac:dyDescent="0.25">
      <c r="A13" s="18" t="str">
        <f t="shared" si="0"/>
        <v>BAVM 231 </v>
      </c>
      <c r="B13" s="6" t="str">
        <f t="shared" si="1"/>
        <v>II</v>
      </c>
      <c r="C13" s="18">
        <f t="shared" si="2"/>
        <v>56074.474800000004</v>
      </c>
      <c r="D13" s="22" t="str">
        <f t="shared" si="3"/>
        <v>vis</v>
      </c>
      <c r="E13" s="40">
        <f>VLOOKUP(C13,'Active 1'!C$21:E$973,3,FALSE)</f>
        <v>4822.5340454280376</v>
      </c>
      <c r="F13" s="6" t="s">
        <v>51</v>
      </c>
      <c r="G13" s="22" t="str">
        <f t="shared" si="4"/>
        <v>56074.4748</v>
      </c>
      <c r="H13" s="18">
        <f t="shared" si="5"/>
        <v>4822.5</v>
      </c>
      <c r="I13" s="41" t="s">
        <v>91</v>
      </c>
      <c r="J13" s="42" t="s">
        <v>92</v>
      </c>
      <c r="K13" s="41" t="s">
        <v>93</v>
      </c>
      <c r="L13" s="41" t="s">
        <v>94</v>
      </c>
      <c r="M13" s="42" t="s">
        <v>63</v>
      </c>
      <c r="N13" s="42" t="s">
        <v>64</v>
      </c>
      <c r="O13" s="43" t="s">
        <v>58</v>
      </c>
      <c r="P13" s="44" t="s">
        <v>95</v>
      </c>
    </row>
    <row r="14" spans="1:16" ht="12.75" customHeight="1" thickBot="1" x14ac:dyDescent="0.25">
      <c r="A14" s="18" t="str">
        <f t="shared" si="0"/>
        <v>BAVM 193 </v>
      </c>
      <c r="B14" s="6" t="str">
        <f t="shared" si="1"/>
        <v>I</v>
      </c>
      <c r="C14" s="18">
        <f t="shared" si="2"/>
        <v>54298.520299999996</v>
      </c>
      <c r="D14" s="22" t="str">
        <f t="shared" si="3"/>
        <v>vis</v>
      </c>
      <c r="E14" s="40">
        <f>VLOOKUP(C14,'Active 1'!C$21:E$973,3,FALSE)</f>
        <v>4443.0319286345066</v>
      </c>
      <c r="F14" s="6" t="s">
        <v>51</v>
      </c>
      <c r="G14" s="22" t="str">
        <f t="shared" si="4"/>
        <v>54298.5203</v>
      </c>
      <c r="H14" s="18">
        <f t="shared" si="5"/>
        <v>4443</v>
      </c>
      <c r="I14" s="41" t="s">
        <v>60</v>
      </c>
      <c r="J14" s="42" t="s">
        <v>61</v>
      </c>
      <c r="K14" s="41">
        <v>4443</v>
      </c>
      <c r="L14" s="41" t="s">
        <v>62</v>
      </c>
      <c r="M14" s="42" t="s">
        <v>63</v>
      </c>
      <c r="N14" s="42" t="s">
        <v>64</v>
      </c>
      <c r="O14" s="43" t="s">
        <v>58</v>
      </c>
      <c r="P14" s="44" t="s">
        <v>65</v>
      </c>
    </row>
    <row r="15" spans="1:16" ht="12.75" customHeight="1" thickBot="1" x14ac:dyDescent="0.25">
      <c r="A15" s="18" t="str">
        <f t="shared" si="0"/>
        <v>BAVM 212 </v>
      </c>
      <c r="B15" s="6" t="str">
        <f t="shared" si="1"/>
        <v>I</v>
      </c>
      <c r="C15" s="18">
        <f t="shared" si="2"/>
        <v>55075.354500000001</v>
      </c>
      <c r="D15" s="22" t="str">
        <f t="shared" si="3"/>
        <v>vis</v>
      </c>
      <c r="E15" s="40">
        <f>VLOOKUP(C15,'Active 1'!C$21:E$973,3,FALSE)</f>
        <v>4609.0329288277044</v>
      </c>
      <c r="F15" s="6" t="s">
        <v>51</v>
      </c>
      <c r="G15" s="22" t="str">
        <f t="shared" si="4"/>
        <v>55075.3545</v>
      </c>
      <c r="H15" s="18">
        <f t="shared" si="5"/>
        <v>4609</v>
      </c>
      <c r="I15" s="41" t="s">
        <v>66</v>
      </c>
      <c r="J15" s="42" t="s">
        <v>67</v>
      </c>
      <c r="K15" s="41" t="s">
        <v>68</v>
      </c>
      <c r="L15" s="41" t="s">
        <v>69</v>
      </c>
      <c r="M15" s="42" t="s">
        <v>63</v>
      </c>
      <c r="N15" s="42" t="s">
        <v>64</v>
      </c>
      <c r="O15" s="43" t="s">
        <v>70</v>
      </c>
      <c r="P15" s="44" t="s">
        <v>71</v>
      </c>
    </row>
    <row r="16" spans="1:16" ht="12.75" customHeight="1" thickBot="1" x14ac:dyDescent="0.25">
      <c r="A16" s="18" t="str">
        <f t="shared" si="0"/>
        <v>BAVM 212 </v>
      </c>
      <c r="B16" s="6" t="str">
        <f t="shared" si="1"/>
        <v>II</v>
      </c>
      <c r="C16" s="18">
        <f t="shared" si="2"/>
        <v>55096.426800000001</v>
      </c>
      <c r="D16" s="22" t="str">
        <f t="shared" si="3"/>
        <v>vis</v>
      </c>
      <c r="E16" s="40">
        <f>VLOOKUP(C16,'Active 1'!C$21:E$973,3,FALSE)</f>
        <v>4613.535849626468</v>
      </c>
      <c r="F16" s="6" t="s">
        <v>51</v>
      </c>
      <c r="G16" s="22" t="str">
        <f t="shared" si="4"/>
        <v>55096.4268</v>
      </c>
      <c r="H16" s="18">
        <f t="shared" si="5"/>
        <v>4613.5</v>
      </c>
      <c r="I16" s="41" t="s">
        <v>72</v>
      </c>
      <c r="J16" s="42" t="s">
        <v>73</v>
      </c>
      <c r="K16" s="41" t="s">
        <v>74</v>
      </c>
      <c r="L16" s="41" t="s">
        <v>75</v>
      </c>
      <c r="M16" s="42" t="s">
        <v>63</v>
      </c>
      <c r="N16" s="42" t="s">
        <v>64</v>
      </c>
      <c r="O16" s="43" t="s">
        <v>58</v>
      </c>
      <c r="P16" s="44" t="s">
        <v>71</v>
      </c>
    </row>
    <row r="17" spans="1:16" ht="12.75" customHeight="1" thickBot="1" x14ac:dyDescent="0.25">
      <c r="A17" s="18" t="str">
        <f t="shared" si="0"/>
        <v>BAVM 214 </v>
      </c>
      <c r="B17" s="6" t="str">
        <f t="shared" si="1"/>
        <v>II</v>
      </c>
      <c r="C17" s="18">
        <f t="shared" si="2"/>
        <v>55358.4732</v>
      </c>
      <c r="D17" s="22" t="str">
        <f t="shared" si="3"/>
        <v>vis</v>
      </c>
      <c r="E17" s="40">
        <f>VLOOKUP(C17,'Active 1'!C$21:E$973,3,FALSE)</f>
        <v>4669.5323087126235</v>
      </c>
      <c r="F17" s="6" t="s">
        <v>51</v>
      </c>
      <c r="G17" s="22" t="str">
        <f t="shared" si="4"/>
        <v>55358.4732</v>
      </c>
      <c r="H17" s="18">
        <f t="shared" si="5"/>
        <v>4669.5</v>
      </c>
      <c r="I17" s="41" t="s">
        <v>76</v>
      </c>
      <c r="J17" s="42" t="s">
        <v>77</v>
      </c>
      <c r="K17" s="41" t="s">
        <v>78</v>
      </c>
      <c r="L17" s="41" t="s">
        <v>79</v>
      </c>
      <c r="M17" s="42" t="s">
        <v>63</v>
      </c>
      <c r="N17" s="42" t="s">
        <v>64</v>
      </c>
      <c r="O17" s="43" t="s">
        <v>70</v>
      </c>
      <c r="P17" s="44" t="s">
        <v>80</v>
      </c>
    </row>
    <row r="18" spans="1:16" ht="12.75" customHeight="1" thickBot="1" x14ac:dyDescent="0.25">
      <c r="A18" s="18" t="str">
        <f t="shared" si="0"/>
        <v>BAVM 225 </v>
      </c>
      <c r="B18" s="6" t="str">
        <f t="shared" si="1"/>
        <v>I</v>
      </c>
      <c r="C18" s="18">
        <f t="shared" si="2"/>
        <v>55833.474800000004</v>
      </c>
      <c r="D18" s="22" t="str">
        <f t="shared" si="3"/>
        <v>vis</v>
      </c>
      <c r="E18" s="40">
        <f>VLOOKUP(C18,'Active 1'!C$21:E$973,3,FALSE)</f>
        <v>4771.0349725929846</v>
      </c>
      <c r="F18" s="6" t="s">
        <v>51</v>
      </c>
      <c r="G18" s="22" t="str">
        <f t="shared" si="4"/>
        <v>55833.4748</v>
      </c>
      <c r="H18" s="18">
        <f t="shared" si="5"/>
        <v>4771</v>
      </c>
      <c r="I18" s="41" t="s">
        <v>86</v>
      </c>
      <c r="J18" s="42" t="s">
        <v>87</v>
      </c>
      <c r="K18" s="41" t="s">
        <v>88</v>
      </c>
      <c r="L18" s="41" t="s">
        <v>89</v>
      </c>
      <c r="M18" s="42" t="s">
        <v>63</v>
      </c>
      <c r="N18" s="42" t="s">
        <v>64</v>
      </c>
      <c r="O18" s="43" t="s">
        <v>70</v>
      </c>
      <c r="P18" s="44" t="s">
        <v>90</v>
      </c>
    </row>
    <row r="19" spans="1:16" x14ac:dyDescent="0.2">
      <c r="B19" s="6"/>
      <c r="F19" s="6"/>
    </row>
    <row r="20" spans="1:16" x14ac:dyDescent="0.2">
      <c r="B20" s="6"/>
      <c r="F20" s="6"/>
    </row>
    <row r="21" spans="1:16" x14ac:dyDescent="0.2">
      <c r="B21" s="6"/>
      <c r="F21" s="6"/>
    </row>
    <row r="22" spans="1:16" x14ac:dyDescent="0.2">
      <c r="B22" s="6"/>
      <c r="F22" s="6"/>
    </row>
    <row r="23" spans="1:16" x14ac:dyDescent="0.2">
      <c r="B23" s="6"/>
      <c r="F23" s="6"/>
    </row>
    <row r="24" spans="1:16" x14ac:dyDescent="0.2">
      <c r="B24" s="6"/>
      <c r="F24" s="6"/>
    </row>
    <row r="25" spans="1:16" x14ac:dyDescent="0.2">
      <c r="B25" s="6"/>
      <c r="F25" s="6"/>
    </row>
    <row r="26" spans="1:16" x14ac:dyDescent="0.2">
      <c r="B26" s="6"/>
      <c r="F26" s="6"/>
    </row>
    <row r="27" spans="1:16" x14ac:dyDescent="0.2">
      <c r="B27" s="6"/>
      <c r="F27" s="6"/>
    </row>
    <row r="28" spans="1:16" x14ac:dyDescent="0.2">
      <c r="B28" s="6"/>
      <c r="F28" s="6"/>
    </row>
    <row r="29" spans="1:16" x14ac:dyDescent="0.2">
      <c r="B29" s="6"/>
      <c r="F29" s="6"/>
    </row>
    <row r="30" spans="1:16" x14ac:dyDescent="0.2">
      <c r="B30" s="6"/>
      <c r="F30" s="6"/>
    </row>
    <row r="31" spans="1:16" x14ac:dyDescent="0.2">
      <c r="B31" s="6"/>
      <c r="F31" s="6"/>
    </row>
    <row r="32" spans="1:1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</sheetData>
  <phoneticPr fontId="8" type="noConversion"/>
  <hyperlinks>
    <hyperlink ref="P11" r:id="rId1" display="http://www.bav-astro.de/sfs/BAVM_link.php?BAVMnr=172" xr:uid="{00000000-0004-0000-0200-000000000000}"/>
    <hyperlink ref="P14" r:id="rId2" display="http://www.bav-astro.de/sfs/BAVM_link.php?BAVMnr=193" xr:uid="{00000000-0004-0000-0200-000001000000}"/>
    <hyperlink ref="P15" r:id="rId3" display="http://www.bav-astro.de/sfs/BAVM_link.php?BAVMnr=212" xr:uid="{00000000-0004-0000-0200-000002000000}"/>
    <hyperlink ref="P16" r:id="rId4" display="http://www.bav-astro.de/sfs/BAVM_link.php?BAVMnr=212" xr:uid="{00000000-0004-0000-0200-000003000000}"/>
    <hyperlink ref="P17" r:id="rId5" display="http://www.bav-astro.de/sfs/BAVM_link.php?BAVMnr=214" xr:uid="{00000000-0004-0000-0200-000004000000}"/>
    <hyperlink ref="P12" r:id="rId6" display="http://www.bav-astro.de/sfs/BAVM_link.php?BAVMnr=215" xr:uid="{00000000-0004-0000-0200-000005000000}"/>
    <hyperlink ref="P18" r:id="rId7" display="http://www.bav-astro.de/sfs/BAVM_link.php?BAVMnr=225" xr:uid="{00000000-0004-0000-0200-000006000000}"/>
    <hyperlink ref="P13" r:id="rId8" display="http://www.bav-astro.de/sfs/BAVM_link.php?BAVMnr=231" xr:uid="{00000000-0004-0000-02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2024-08-21T05:27:08Z</dcterms:modified>
</cp:coreProperties>
</file>