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56FE77-A611-4D13-97E0-D9A81C4738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Q53" i="1" l="1"/>
  <c r="C17" i="1"/>
  <c r="C7" i="1"/>
  <c r="E53" i="1"/>
  <c r="F53" i="1"/>
  <c r="C8" i="1"/>
  <c r="C15" i="1"/>
  <c r="E22" i="1"/>
  <c r="F22" i="1"/>
  <c r="E24" i="1"/>
  <c r="F24" i="1"/>
  <c r="G24" i="1"/>
  <c r="I24" i="1"/>
  <c r="E30" i="1"/>
  <c r="F30" i="1"/>
  <c r="E32" i="1"/>
  <c r="F32" i="1"/>
  <c r="G32" i="1"/>
  <c r="I32" i="1"/>
  <c r="E39" i="1"/>
  <c r="F39" i="1"/>
  <c r="E44" i="1"/>
  <c r="F44" i="1"/>
  <c r="G44" i="1"/>
  <c r="I44" i="1"/>
  <c r="E52" i="1"/>
  <c r="F52" i="1"/>
  <c r="E38" i="1"/>
  <c r="F38" i="1"/>
  <c r="G38" i="1"/>
  <c r="J38" i="1"/>
  <c r="D9" i="1"/>
  <c r="C9" i="1"/>
  <c r="F16" i="1"/>
  <c r="F17" i="1" s="1"/>
  <c r="Q52" i="1"/>
  <c r="Q51" i="1"/>
  <c r="Q50" i="1"/>
  <c r="Q49" i="1"/>
  <c r="Q48" i="1"/>
  <c r="Q47" i="1"/>
  <c r="Q46" i="1"/>
  <c r="Q45" i="1"/>
  <c r="Q44" i="1"/>
  <c r="Q42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40" i="4"/>
  <c r="C40" i="4"/>
  <c r="E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E32" i="4"/>
  <c r="G31" i="4"/>
  <c r="C31" i="4"/>
  <c r="G30" i="4"/>
  <c r="C30" i="4"/>
  <c r="E30" i="4"/>
  <c r="G29" i="4"/>
  <c r="C29" i="4"/>
  <c r="G28" i="4"/>
  <c r="C28" i="4"/>
  <c r="E28" i="4"/>
  <c r="G11" i="4"/>
  <c r="C11" i="4"/>
  <c r="E11" i="4"/>
  <c r="G27" i="4"/>
  <c r="C27" i="4"/>
  <c r="G26" i="4"/>
  <c r="C26" i="4"/>
  <c r="G25" i="4"/>
  <c r="C25" i="4"/>
  <c r="G24" i="4"/>
  <c r="C24" i="4"/>
  <c r="G23" i="4"/>
  <c r="C23" i="4"/>
  <c r="G22" i="4"/>
  <c r="C22" i="4"/>
  <c r="E22" i="4"/>
  <c r="G21" i="4"/>
  <c r="C21" i="4"/>
  <c r="G20" i="4"/>
  <c r="C20" i="4"/>
  <c r="E20" i="4"/>
  <c r="G19" i="4"/>
  <c r="C19" i="4"/>
  <c r="G18" i="4"/>
  <c r="C18" i="4"/>
  <c r="G17" i="4"/>
  <c r="C17" i="4"/>
  <c r="G16" i="4"/>
  <c r="C16" i="4"/>
  <c r="G15" i="4"/>
  <c r="C15" i="4"/>
  <c r="G14" i="4"/>
  <c r="C14" i="4"/>
  <c r="E14" i="4"/>
  <c r="G13" i="4"/>
  <c r="C13" i="4"/>
  <c r="G12" i="4"/>
  <c r="C12" i="4"/>
  <c r="E12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11" i="4"/>
  <c r="B11" i="4"/>
  <c r="D11" i="4"/>
  <c r="A11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E28" i="3"/>
  <c r="F28" i="3"/>
  <c r="G11" i="3"/>
  <c r="F11" i="3"/>
  <c r="Q31" i="3"/>
  <c r="E14" i="3"/>
  <c r="E15" i="3" s="1"/>
  <c r="Q32" i="3"/>
  <c r="Q30" i="3"/>
  <c r="Q29" i="3"/>
  <c r="C7" i="3"/>
  <c r="E29" i="3"/>
  <c r="F29" i="3"/>
  <c r="C17" i="3"/>
  <c r="Q21" i="3"/>
  <c r="Q22" i="3"/>
  <c r="Q23" i="3"/>
  <c r="Q24" i="3"/>
  <c r="Q25" i="3"/>
  <c r="Q26" i="3"/>
  <c r="Q27" i="3"/>
  <c r="Q28" i="3"/>
  <c r="Q21" i="1"/>
  <c r="Q38" i="1"/>
  <c r="Q41" i="1"/>
  <c r="Q43" i="1"/>
  <c r="E37" i="4"/>
  <c r="E21" i="4"/>
  <c r="C18" i="1"/>
  <c r="E25" i="4"/>
  <c r="E29" i="4"/>
  <c r="E36" i="4"/>
  <c r="E23" i="3"/>
  <c r="F23" i="3"/>
  <c r="E26" i="3"/>
  <c r="F26" i="3"/>
  <c r="G26" i="3"/>
  <c r="K26" i="3"/>
  <c r="G28" i="3"/>
  <c r="K28" i="3"/>
  <c r="E32" i="3"/>
  <c r="F32" i="3"/>
  <c r="G32" i="3"/>
  <c r="J32" i="3"/>
  <c r="G25" i="3"/>
  <c r="K25" i="3"/>
  <c r="E48" i="1"/>
  <c r="F48" i="1"/>
  <c r="E35" i="1"/>
  <c r="F35" i="1"/>
  <c r="E27" i="1"/>
  <c r="F27" i="1"/>
  <c r="E46" i="1"/>
  <c r="F46" i="1"/>
  <c r="G46" i="1"/>
  <c r="I46" i="1"/>
  <c r="E49" i="1"/>
  <c r="F49" i="1"/>
  <c r="G49" i="1"/>
  <c r="I49" i="1"/>
  <c r="G40" i="1"/>
  <c r="I40" i="1"/>
  <c r="E37" i="1"/>
  <c r="F37" i="1"/>
  <c r="G37" i="1"/>
  <c r="I37" i="1"/>
  <c r="G31" i="1"/>
  <c r="I31" i="1"/>
  <c r="E29" i="1"/>
  <c r="F29" i="1"/>
  <c r="G29" i="1"/>
  <c r="I29" i="1"/>
  <c r="E25" i="3"/>
  <c r="F25" i="3"/>
  <c r="G22" i="3"/>
  <c r="E21" i="1"/>
  <c r="F21" i="1"/>
  <c r="E47" i="1"/>
  <c r="F47" i="1"/>
  <c r="G47" i="1"/>
  <c r="I47" i="1"/>
  <c r="E34" i="1"/>
  <c r="F34" i="1"/>
  <c r="G34" i="1"/>
  <c r="I34" i="1"/>
  <c r="E26" i="1"/>
  <c r="F26" i="1"/>
  <c r="G26" i="1"/>
  <c r="I26" i="1"/>
  <c r="G27" i="3"/>
  <c r="J27" i="3"/>
  <c r="E22" i="3"/>
  <c r="F22" i="3"/>
  <c r="E24" i="3"/>
  <c r="F24" i="3"/>
  <c r="G24" i="3"/>
  <c r="J24" i="3"/>
  <c r="E30" i="3"/>
  <c r="F30" i="3"/>
  <c r="G30" i="3"/>
  <c r="J30" i="3"/>
  <c r="E21" i="3"/>
  <c r="F21" i="3"/>
  <c r="G29" i="3"/>
  <c r="J29" i="3"/>
  <c r="E27" i="3"/>
  <c r="F27" i="3"/>
  <c r="G41" i="1"/>
  <c r="K41" i="1"/>
  <c r="E51" i="1"/>
  <c r="F51" i="1"/>
  <c r="U51" i="1"/>
  <c r="E40" i="1"/>
  <c r="F40" i="1"/>
  <c r="E31" i="1"/>
  <c r="F31" i="1"/>
  <c r="E23" i="1"/>
  <c r="F23" i="1"/>
  <c r="G23" i="1"/>
  <c r="I23" i="1"/>
  <c r="G53" i="1"/>
  <c r="K53" i="1"/>
  <c r="G52" i="1"/>
  <c r="I52" i="1"/>
  <c r="E50" i="1"/>
  <c r="F50" i="1"/>
  <c r="G50" i="1"/>
  <c r="I50" i="1"/>
  <c r="G39" i="1"/>
  <c r="E36" i="1"/>
  <c r="G30" i="1"/>
  <c r="I30" i="1"/>
  <c r="E28" i="1"/>
  <c r="G22" i="1"/>
  <c r="I22" i="1"/>
  <c r="E43" i="1"/>
  <c r="F43" i="1"/>
  <c r="G43" i="1"/>
  <c r="K43" i="1"/>
  <c r="E42" i="1"/>
  <c r="F42" i="1"/>
  <c r="G42" i="1"/>
  <c r="I42" i="1"/>
  <c r="E31" i="3"/>
  <c r="F31" i="3"/>
  <c r="R31" i="3"/>
  <c r="E41" i="1"/>
  <c r="F41" i="1"/>
  <c r="G48" i="1"/>
  <c r="I48" i="1"/>
  <c r="E45" i="1"/>
  <c r="G35" i="1"/>
  <c r="I35" i="1"/>
  <c r="E33" i="1"/>
  <c r="F33" i="1"/>
  <c r="G33" i="1"/>
  <c r="I33" i="1"/>
  <c r="G27" i="1"/>
  <c r="I27" i="1"/>
  <c r="E25" i="1"/>
  <c r="F25" i="1"/>
  <c r="G25" i="1"/>
  <c r="I25" i="1"/>
  <c r="E23" i="4"/>
  <c r="E15" i="4"/>
  <c r="E27" i="4"/>
  <c r="E34" i="4"/>
  <c r="F36" i="1"/>
  <c r="G36" i="1"/>
  <c r="I36" i="1"/>
  <c r="E26" i="4"/>
  <c r="E24" i="4"/>
  <c r="E39" i="4"/>
  <c r="E35" i="4"/>
  <c r="E17" i="4"/>
  <c r="F45" i="1"/>
  <c r="G45" i="1"/>
  <c r="E33" i="4"/>
  <c r="F28" i="1"/>
  <c r="G28" i="1"/>
  <c r="I28" i="1"/>
  <c r="E18" i="4"/>
  <c r="E13" i="4"/>
  <c r="E19" i="4"/>
  <c r="I22" i="3"/>
  <c r="E16" i="4"/>
  <c r="I39" i="1"/>
  <c r="E38" i="4"/>
  <c r="E31" i="4"/>
  <c r="I45" i="1"/>
  <c r="C12" i="1"/>
  <c r="C12" i="3"/>
  <c r="C11" i="1"/>
  <c r="C11" i="3"/>
  <c r="O30" i="3" l="1"/>
  <c r="O29" i="3"/>
  <c r="O21" i="3"/>
  <c r="C15" i="3"/>
  <c r="O24" i="3"/>
  <c r="O27" i="3"/>
  <c r="O28" i="3"/>
  <c r="O26" i="3"/>
  <c r="O22" i="3"/>
  <c r="O31" i="3"/>
  <c r="O25" i="3"/>
  <c r="O32" i="3"/>
  <c r="O23" i="3"/>
  <c r="O50" i="1"/>
  <c r="O46" i="1"/>
  <c r="O40" i="1"/>
  <c r="O47" i="1"/>
  <c r="O42" i="1"/>
  <c r="O44" i="1"/>
  <c r="O41" i="1"/>
  <c r="O39" i="1"/>
  <c r="O51" i="1"/>
  <c r="O53" i="1"/>
  <c r="O52" i="1"/>
  <c r="O49" i="1"/>
  <c r="O43" i="1"/>
  <c r="O48" i="1"/>
  <c r="O45" i="1"/>
  <c r="C16" i="3"/>
  <c r="D18" i="3" s="1"/>
  <c r="C16" i="1"/>
  <c r="C18" i="3" l="1"/>
  <c r="E16" i="3"/>
  <c r="E17" i="3" s="1"/>
  <c r="D18" i="1"/>
  <c r="F18" i="1"/>
  <c r="F19" i="1" s="1"/>
</calcChain>
</file>

<file path=xl/sharedStrings.xml><?xml version="1.0" encoding="utf-8"?>
<sst xmlns="http://schemas.openxmlformats.org/spreadsheetml/2006/main" count="447" uniqueCount="201">
  <si>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</si>
  <si>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</si>
  <si>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</si>
  <si>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</si>
  <si>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</si>
  <si>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</si>
  <si>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</si>
  <si>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</si>
  <si>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</si>
  <si>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</si>
  <si>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</si>
  <si>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</si>
  <si>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</si>
  <si>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</si>
  <si>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</si>
  <si>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</si>
  <si>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</si>
  <si>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</si>
  <si>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</si>
  <si>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</si>
  <si>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</si>
  <si>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</si>
  <si>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</si>
  <si>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</si>
  <si>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</si>
  <si>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</si>
  <si>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</si>
  <si>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</si>
  <si>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</si>
  <si>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</si>
  <si>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V1305 Cyg</t>
  </si>
  <si>
    <t>Diethelm R</t>
  </si>
  <si>
    <t>BBSAG Bull.118</t>
  </si>
  <si>
    <t>B</t>
  </si>
  <si>
    <t>IBVS 5672</t>
  </si>
  <si>
    <t>EB/KE:</t>
  </si>
  <si>
    <t>V1305 Cyg / GSC 3150-1912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</si>
  <si>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</si>
  <si>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</si>
  <si>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</si>
  <si>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</si>
  <si>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</si>
  <si>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</si>
  <si>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</si>
  <si>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</si>
  <si>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5760</t>
  </si>
  <si>
    <t>IBVS 5802</t>
  </si>
  <si>
    <t>Start of linear fit &gt;&gt;&gt;&gt;&gt;&gt;&gt;&gt;&gt;&gt;&gt;&gt;&gt;&gt;&gt;&gt;&gt;&gt;&gt;&gt;&gt;</t>
  </si>
  <si>
    <t>IBVS 5929</t>
  </si>
  <si>
    <t>IBVS 6084</t>
  </si>
  <si>
    <t>IBVS 6048</t>
  </si>
  <si>
    <t>I</t>
  </si>
  <si>
    <t>BAD?</t>
  </si>
  <si>
    <t>Add cycle</t>
  </si>
  <si>
    <t>Old Cycle</t>
  </si>
  <si>
    <t>IBVS 6149</t>
  </si>
  <si>
    <t>pg</t>
  </si>
  <si>
    <t>vis</t>
  </si>
  <si>
    <t>PE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</si>
  <si>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</si>
  <si>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</si>
  <si>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</si>
  <si>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</si>
  <si>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</si>
  <si>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</si>
  <si>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</si>
  <si>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</si>
  <si>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</si>
  <si>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</si>
  <si>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2425426.511 </t>
  </si>
  <si>
    <t> 29.06.1928 00:15 </t>
  </si>
  <si>
    <t> 0.001 </t>
  </si>
  <si>
    <t>P </t>
  </si>
  <si>
    <t> G.Kalbe </t>
  </si>
  <si>
    <t> MVS 573 </t>
  </si>
  <si>
    <t>2425435.518 </t>
  </si>
  <si>
    <t> 08.07.1928 00:25 </t>
  </si>
  <si>
    <t> -0.001 </t>
  </si>
  <si>
    <t>2425527.389 </t>
  </si>
  <si>
    <t> 07.10.1928 21:20 </t>
  </si>
  <si>
    <t> -0.022 </t>
  </si>
  <si>
    <t>2425854.481 </t>
  </si>
  <si>
    <t> 30.08.1929 23:32 </t>
  </si>
  <si>
    <t> 0.043 </t>
  </si>
  <si>
    <t>2426189.538 </t>
  </si>
  <si>
    <t> 01.08.1930 00:54 </t>
  </si>
  <si>
    <t> -0.036 </t>
  </si>
  <si>
    <t>2431700.368 </t>
  </si>
  <si>
    <t> 01.09.1945 20:49 </t>
  </si>
  <si>
    <t> -0.470 </t>
  </si>
  <si>
    <t>2431732.394 </t>
  </si>
  <si>
    <t> 03.10.1945 21:27 </t>
  </si>
  <si>
    <t> -0.426 </t>
  </si>
  <si>
    <t>2432063.432 </t>
  </si>
  <si>
    <t> 30.08.1946 22:22 </t>
  </si>
  <si>
    <t>2433537.344 </t>
  </si>
  <si>
    <t> 12.09.1950 20:15 </t>
  </si>
  <si>
    <t> -0.433 </t>
  </si>
  <si>
    <t>2433891.347 </t>
  </si>
  <si>
    <t> 01.09.1951 20:19 </t>
  </si>
  <si>
    <t> -0.484 </t>
  </si>
  <si>
    <t>2434452.642 </t>
  </si>
  <si>
    <t> 16.03.1953 03:24 </t>
  </si>
  <si>
    <t> -0.451 </t>
  </si>
  <si>
    <t>2434480.548 </t>
  </si>
  <si>
    <t> 13.04.1953 01:09 </t>
  </si>
  <si>
    <t> -0.473 </t>
  </si>
  <si>
    <t>2434899.492 </t>
  </si>
  <si>
    <t> 05.06.1954 23:48 </t>
  </si>
  <si>
    <t> -0.448 </t>
  </si>
  <si>
    <t>2434991.42 </t>
  </si>
  <si>
    <t> 05.09.1954 22:04 </t>
  </si>
  <si>
    <t> -0.41 </t>
  </si>
  <si>
    <t>2436307.553 </t>
  </si>
  <si>
    <t> 14.04.1958 01:16 </t>
  </si>
  <si>
    <t> -0.496 </t>
  </si>
  <si>
    <t>2437081.522 </t>
  </si>
  <si>
    <t> 27.05.1960 00:31 </t>
  </si>
  <si>
    <t> -0.401 </t>
  </si>
  <si>
    <t>2450944.510 </t>
  </si>
  <si>
    <t> 11.05.1998 00:14 </t>
  </si>
  <si>
    <t> -0.936 </t>
  </si>
  <si>
    <t>E </t>
  </si>
  <si>
    <t>?</t>
  </si>
  <si>
    <t> R.Diethelm </t>
  </si>
  <si>
    <t> BBS 118 </t>
  </si>
  <si>
    <t>2453227.3959 </t>
  </si>
  <si>
    <t> 09.08.2004 21:30 </t>
  </si>
  <si>
    <t> -0.9344 </t>
  </si>
  <si>
    <t>-I</t>
  </si>
  <si>
    <t> F.Agerer </t>
  </si>
  <si>
    <t>BAVM 173 </t>
  </si>
  <si>
    <t>2453258.4895 </t>
  </si>
  <si>
    <t> 09.09.2004 23:44 </t>
  </si>
  <si>
    <t>30894.5</t>
  </si>
  <si>
    <t> -0.9219 </t>
  </si>
  <si>
    <t>o</t>
  </si>
  <si>
    <t>2453711.641 </t>
  </si>
  <si>
    <t> 07.12.2005 03:23 </t>
  </si>
  <si>
    <t>31397.5</t>
  </si>
  <si>
    <t> -0.924 </t>
  </si>
  <si>
    <t> R. Nelson </t>
  </si>
  <si>
    <t>IBVS 5672 </t>
  </si>
  <si>
    <t>2453821.9989 </t>
  </si>
  <si>
    <t> 27.03.2006 11:58 </t>
  </si>
  <si>
    <t>31520</t>
  </si>
  <si>
    <t> -0.9264 </t>
  </si>
  <si>
    <t>C </t>
  </si>
  <si>
    <t>R</t>
  </si>
  <si>
    <t>IBVS 5760 </t>
  </si>
  <si>
    <t>2454019.2940 </t>
  </si>
  <si>
    <t> 10.10.2006 19:03 </t>
  </si>
  <si>
    <t>31739</t>
  </si>
  <si>
    <t> -0.9287 </t>
  </si>
  <si>
    <t> K.&amp; M.Rätz </t>
  </si>
  <si>
    <t>BAVM 186 </t>
  </si>
  <si>
    <t>2454981.4718 </t>
  </si>
  <si>
    <t> 29.05.2009 23:19 </t>
  </si>
  <si>
    <t>32807</t>
  </si>
  <si>
    <t> -0.9137 </t>
  </si>
  <si>
    <t> W.Moschner &amp; P.Frank </t>
  </si>
  <si>
    <t>BAVM 209 </t>
  </si>
  <si>
    <t>2455115.7064 </t>
  </si>
  <si>
    <t> 11.10.2009 04:57 </t>
  </si>
  <si>
    <t>32956</t>
  </si>
  <si>
    <t> -0.9134 </t>
  </si>
  <si>
    <t> R.Nelson </t>
  </si>
  <si>
    <t>IBVS 5929 </t>
  </si>
  <si>
    <t>2455382.3907 </t>
  </si>
  <si>
    <t> 04.07.2010 21:22 </t>
  </si>
  <si>
    <t>33252</t>
  </si>
  <si>
    <t> -0.8960 </t>
  </si>
  <si>
    <t> U.Schmidt </t>
  </si>
  <si>
    <t>BAVM 214 </t>
  </si>
  <si>
    <t>2455799.4956 </t>
  </si>
  <si>
    <t> 25.08.2011 23:53 </t>
  </si>
  <si>
    <t>33715</t>
  </si>
  <si>
    <t> -0.9085 </t>
  </si>
  <si>
    <t>BAVM 225 </t>
  </si>
  <si>
    <t>2455832.3918 </t>
  </si>
  <si>
    <t> 27.09.2011 21:24 </t>
  </si>
  <si>
    <t>33751.5</t>
  </si>
  <si>
    <t> -0.8952 </t>
  </si>
  <si>
    <t> P.Frank </t>
  </si>
  <si>
    <t>BAVM 232 </t>
  </si>
  <si>
    <t>2455836.4364 </t>
  </si>
  <si>
    <t> 01.10.2011 22:28 </t>
  </si>
  <si>
    <t>33756</t>
  </si>
  <si>
    <t> -0.9046 </t>
  </si>
  <si>
    <t>BAVM 228 </t>
  </si>
  <si>
    <t>2456157.4916 </t>
  </si>
  <si>
    <t> 17.08.2012 23:47 </t>
  </si>
  <si>
    <t>34112.5</t>
  </si>
  <si>
    <t> -1.0208 </t>
  </si>
  <si>
    <t>BAVM 238 </t>
  </si>
  <si>
    <t>2456490.5012 </t>
  </si>
  <si>
    <t> 17.07.2013 00:01 </t>
  </si>
  <si>
    <t>34482</t>
  </si>
  <si>
    <t> -0.8943 </t>
  </si>
  <si>
    <t>II</t>
  </si>
  <si>
    <t>IBVS 5766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</si>
</sst>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10" xfId="0" applyFont="1" applyFill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41681949863601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28822944171"/>
          <c:y val="0.15"/>
          <c:w val="0.7906983650862005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0-4CB1-A196-B07392DCA2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1.0000000002037268E-3</c:v>
                </c:pt>
                <c:pt idx="2">
                  <c:v>-1.0149999980058055E-3</c:v>
                </c:pt>
                <c:pt idx="3">
                  <c:v>-2.1968000000924803E-2</c:v>
                </c:pt>
                <c:pt idx="4">
                  <c:v>4.2787500002305023E-2</c:v>
                </c:pt>
                <c:pt idx="5">
                  <c:v>-3.5570499996538274E-2</c:v>
                </c:pt>
                <c:pt idx="6">
                  <c:v>-2.0046000001457287E-2</c:v>
                </c:pt>
                <c:pt idx="7">
                  <c:v>2.3950750000949483E-2</c:v>
                </c:pt>
                <c:pt idx="8">
                  <c:v>-1.9350499998836312E-2</c:v>
                </c:pt>
                <c:pt idx="9">
                  <c:v>1.779549999628216E-2</c:v>
                </c:pt>
                <c:pt idx="10">
                  <c:v>-3.3493999995698687E-2</c:v>
                </c:pt>
                <c:pt idx="11">
                  <c:v>-1.2849999620812014E-4</c:v>
                </c:pt>
                <c:pt idx="12">
                  <c:v>-2.2074999993492384E-2</c:v>
                </c:pt>
                <c:pt idx="13">
                  <c:v>2.7275000029476359E-3</c:v>
                </c:pt>
                <c:pt idx="14">
                  <c:v>3.8774499997089151E-2</c:v>
                </c:pt>
                <c:pt idx="15">
                  <c:v>-4.5316999996430241E-2</c:v>
                </c:pt>
                <c:pt idx="16">
                  <c:v>4.929450000054203E-2</c:v>
                </c:pt>
                <c:pt idx="18">
                  <c:v>-3.3488499997474719E-2</c:v>
                </c:pt>
                <c:pt idx="19">
                  <c:v>-2.099024999915855E-2</c:v>
                </c:pt>
                <c:pt idx="21">
                  <c:v>-2.5478499999735504E-2</c:v>
                </c:pt>
                <c:pt idx="23">
                  <c:v>-2.7806999998574611E-2</c:v>
                </c:pt>
                <c:pt idx="24">
                  <c:v>-1.2808999999833759E-2</c:v>
                </c:pt>
                <c:pt idx="25">
                  <c:v>-1.2532499997178093E-2</c:v>
                </c:pt>
                <c:pt idx="26">
                  <c:v>4.9235000042244792E-3</c:v>
                </c:pt>
                <c:pt idx="27">
                  <c:v>-7.5710000019171275E-3</c:v>
                </c:pt>
                <c:pt idx="28">
                  <c:v>5.724249997001607E-3</c:v>
                </c:pt>
                <c:pt idx="29">
                  <c:v>-3.7325000012060627E-3</c:v>
                </c:pt>
                <c:pt idx="31">
                  <c:v>6.5785000042524189E-3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0-4CB1-A196-B07392DCA2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7">
                  <c:v>-3.4987499995622784E-2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0-4CB1-A196-B07392DCA2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-2.3444749996997416E-2</c:v>
                </c:pt>
                <c:pt idx="22">
                  <c:v>-2.5278499997511972E-2</c:v>
                </c:pt>
                <c:pt idx="32">
                  <c:v>4.9314249998133164E-2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F0-4CB1-A196-B07392DCA2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0-4CB1-A196-B07392DCA2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F0-4CB1-A196-B07392DCA2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F0-4CB1-A196-B07392DCA2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-3.4014859740485515E-2</c:v>
                </c:pt>
                <c:pt idx="19">
                  <c:v>-3.3563142518736655E-2</c:v>
                </c:pt>
                <c:pt idx="20">
                  <c:v>-2.6977236358166179E-2</c:v>
                </c:pt>
                <c:pt idx="21">
                  <c:v>-2.5373312889637567E-2</c:v>
                </c:pt>
                <c:pt idx="22">
                  <c:v>-2.5373312889637567E-2</c:v>
                </c:pt>
                <c:pt idx="23">
                  <c:v>-2.2505890525492567E-2</c:v>
                </c:pt>
                <c:pt idx="24">
                  <c:v>-8.5222965304840859E-3</c:v>
                </c:pt>
                <c:pt idx="25">
                  <c:v>-6.5714018626411019E-3</c:v>
                </c:pt>
                <c:pt idx="26">
                  <c:v>-2.6957990325638392E-3</c:v>
                </c:pt>
                <c:pt idx="27">
                  <c:v>3.3663770158340323E-3</c:v>
                </c:pt>
                <c:pt idx="28">
                  <c:v>3.8442807431915416E-3</c:v>
                </c:pt>
                <c:pt idx="29">
                  <c:v>3.9032003808109339E-3</c:v>
                </c:pt>
                <c:pt idx="30">
                  <c:v>8.5709450055492797E-3</c:v>
                </c:pt>
                <c:pt idx="31">
                  <c:v>1.340890191674371E-2</c:v>
                </c:pt>
                <c:pt idx="32">
                  <c:v>3.4482492305288825E-2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0-4CB1-A196-B07392DCA2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0">
                  <c:v>-0.11991724999825237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F0-4CB1-A196-B07392DC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75112"/>
        <c:axId val="1"/>
      </c:scatterChart>
      <c:valAx>
        <c:axId val="856075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06439602026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7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01271017330346"/>
          <c:y val="0.91874999999999996"/>
          <c:w val="0.860465867526845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7339100852736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5554468932277"/>
          <c:y val="0.15"/>
          <c:w val="0.8283273375013098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C4-470C-B346-BF033B8D36A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-0.13750912426621653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C4-470C-B346-BF033B8D36A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3">
                  <c:v>-0.12512716810306301</c:v>
                </c:pt>
                <c:pt idx="6">
                  <c:v>-0.1347905889924732</c:v>
                </c:pt>
                <c:pt idx="8">
                  <c:v>-0.10804314620327204</c:v>
                </c:pt>
                <c:pt idx="9">
                  <c:v>-0.1175150649578427</c:v>
                </c:pt>
                <c:pt idx="11">
                  <c:v>-0.10965129180112854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C4-470C-B346-BF033B8D36A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4">
                  <c:v>-0.12927719854633324</c:v>
                </c:pt>
                <c:pt idx="5">
                  <c:v>-0.13172387594386237</c:v>
                </c:pt>
                <c:pt idx="7">
                  <c:v>-0.1236183962537325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C4-470C-B346-BF033B8D36A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C4-470C-B346-BF033B8D36A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C4-470C-B346-BF033B8D36A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C4-470C-B346-BF033B8D36A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-0.27711153728953708</c:v>
                </c:pt>
                <c:pt idx="1">
                  <c:v>-0.14208880965133355</c:v>
                </c:pt>
                <c:pt idx="2">
                  <c:v>-0.13000945954241183</c:v>
                </c:pt>
                <c:pt idx="3">
                  <c:v>-0.12984500114511199</c:v>
                </c:pt>
                <c:pt idx="4">
                  <c:v>-0.12744724538158095</c:v>
                </c:pt>
                <c:pt idx="5">
                  <c:v>-0.12686329889841486</c:v>
                </c:pt>
                <c:pt idx="6">
                  <c:v>-0.12581934559381586</c:v>
                </c:pt>
                <c:pt idx="7">
                  <c:v>-0.12001801604268811</c:v>
                </c:pt>
                <c:pt idx="8">
                  <c:v>-0.11622593908465842</c:v>
                </c:pt>
                <c:pt idx="9">
                  <c:v>-0.11620448798935842</c:v>
                </c:pt>
                <c:pt idx="10">
                  <c:v>-0.11450746800562672</c:v>
                </c:pt>
                <c:pt idx="11">
                  <c:v>-0.11274371128096175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C4-470C-B346-BF033B8D36A8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B!$R$21:$R$993</c:f>
              <c:numCache>
                <c:formatCode>General</c:formatCode>
                <c:ptCount val="973"/>
                <c:pt idx="10">
                  <c:v>0.21555091746995458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C4-470C-B346-BF033B8D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1592"/>
        <c:axId val="1"/>
      </c:scatterChart>
      <c:valAx>
        <c:axId val="856081592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65163582020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1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43949924714344"/>
          <c:y val="0.91874999999999996"/>
          <c:w val="0.6852655649803430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728574428196475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7151128035107"/>
          <c:y val="0.14953316519776211"/>
          <c:w val="0.83714344108777983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4-40B2-A1B1-CA4896D8C81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-0.13750912426621653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A4-40B2-A1B1-CA4896D8C81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3">
                  <c:v>-0.12512716810306301</c:v>
                </c:pt>
                <c:pt idx="6">
                  <c:v>-0.1347905889924732</c:v>
                </c:pt>
                <c:pt idx="8">
                  <c:v>-0.10804314620327204</c:v>
                </c:pt>
                <c:pt idx="9">
                  <c:v>-0.1175150649578427</c:v>
                </c:pt>
                <c:pt idx="11">
                  <c:v>-0.10965129180112854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A4-40B2-A1B1-CA4896D8C81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4">
                  <c:v>-0.12927719854633324</c:v>
                </c:pt>
                <c:pt idx="5">
                  <c:v>-0.13172387594386237</c:v>
                </c:pt>
                <c:pt idx="7">
                  <c:v>-0.1236183962537325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A4-40B2-A1B1-CA4896D8C81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A4-40B2-A1B1-CA4896D8C81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A4-40B2-A1B1-CA4896D8C81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A4-40B2-A1B1-CA4896D8C81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-0.27711153728953708</c:v>
                </c:pt>
                <c:pt idx="1">
                  <c:v>-0.14208880965133355</c:v>
                </c:pt>
                <c:pt idx="2">
                  <c:v>-0.13000945954241183</c:v>
                </c:pt>
                <c:pt idx="3">
                  <c:v>-0.12984500114511199</c:v>
                </c:pt>
                <c:pt idx="4">
                  <c:v>-0.12744724538158095</c:v>
                </c:pt>
                <c:pt idx="5">
                  <c:v>-0.12686329889841486</c:v>
                </c:pt>
                <c:pt idx="6">
                  <c:v>-0.12581934559381586</c:v>
                </c:pt>
                <c:pt idx="7">
                  <c:v>-0.12001801604268811</c:v>
                </c:pt>
                <c:pt idx="8">
                  <c:v>-0.11622593908465842</c:v>
                </c:pt>
                <c:pt idx="9">
                  <c:v>-0.11620448798935842</c:v>
                </c:pt>
                <c:pt idx="10">
                  <c:v>-0.11450746800562672</c:v>
                </c:pt>
                <c:pt idx="11">
                  <c:v>-0.11274371128096175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A4-40B2-A1B1-CA4896D8C81F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B!$R$21:$R$993</c:f>
              <c:numCache>
                <c:formatCode>General</c:formatCode>
                <c:ptCount val="973"/>
                <c:pt idx="10">
                  <c:v>0.21555091746995458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A4-40B2-A1B1-CA4896D8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48048"/>
        <c:axId val="1"/>
      </c:scatterChart>
      <c:valAx>
        <c:axId val="73644804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29996250463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85729283839518"/>
          <c:y val="0.91900605882208652"/>
          <c:w val="0.6842861642294713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EC521E-27F3-6C2C-C4F6-46E5DB04B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47C45F50-FF3B-CFFF-DF4A-05BBE47C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29</xdr:col>
      <xdr:colOff>495300</xdr:colOff>
      <xdr:row>18</xdr:row>
      <xdr:rowOff>28575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0CB94051-BF52-7CEC-1A44-C4172674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5760" TargetMode="External"/><Relationship Id="rId9" Type="http://schemas.openxmlformats.org/officeDocument/2006/relationships/hyperlink" Target="http://www.bav-astro.de/sfs/BAVM_link.php?BAVMnr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26</v>
      </c>
    </row>
    <row r="4" spans="1:6">
      <c r="A4" s="8" t="s">
        <v>1</v>
      </c>
      <c r="C4" s="3">
        <v>25426.51</v>
      </c>
      <c r="D4" s="4">
        <v>0.90090150000000002</v>
      </c>
    </row>
    <row r="5" spans="1:6">
      <c r="A5" s="19" t="s">
        <v>38</v>
      </c>
      <c r="B5" s="20"/>
      <c r="C5" s="21">
        <v>-9.5</v>
      </c>
      <c r="D5" s="20" t="s">
        <v>39</v>
      </c>
    </row>
    <row r="6" spans="1:6">
      <c r="A6" s="8" t="s">
        <v>2</v>
      </c>
    </row>
    <row r="7" spans="1:6">
      <c r="A7" t="s">
        <v>3</v>
      </c>
      <c r="C7">
        <f>+C4</f>
        <v>25426.51</v>
      </c>
    </row>
    <row r="8" spans="1:6">
      <c r="A8" t="s">
        <v>4</v>
      </c>
      <c r="C8">
        <f>+D4</f>
        <v>0.90090150000000002</v>
      </c>
    </row>
    <row r="9" spans="1:6">
      <c r="A9" s="37" t="s">
        <v>47</v>
      </c>
      <c r="B9" s="38">
        <v>39</v>
      </c>
      <c r="C9" s="35" t="str">
        <f>"F"&amp;B9</f>
        <v>F39</v>
      </c>
      <c r="D9" s="36" t="str">
        <f>"G"&amp;B9</f>
        <v>G39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34">
        <f ca="1">INTERCEPT(INDIRECT($D$9):G977,INDIRECT($C$9):F977)</f>
        <v>-0.43805954802884461</v>
      </c>
      <c r="D11" s="6"/>
    </row>
    <row r="12" spans="1:6">
      <c r="A12" t="s">
        <v>18</v>
      </c>
      <c r="C12" s="34">
        <f ca="1">SLOPE(INDIRECT($D$9):G977,INDIRECT($C$9):F977)</f>
        <v>1.3093252804315081E-5</v>
      </c>
      <c r="D12" s="6"/>
    </row>
    <row r="13" spans="1:6">
      <c r="A13" t="s">
        <v>20</v>
      </c>
      <c r="C13" s="6" t="s">
        <v>15</v>
      </c>
      <c r="D13" s="6"/>
    </row>
    <row r="14" spans="1:6">
      <c r="A14" t="s">
        <v>25</v>
      </c>
    </row>
    <row r="15" spans="1:6">
      <c r="A15" s="5" t="s">
        <v>19</v>
      </c>
      <c r="C15" s="11">
        <f>+D15+C8/2</f>
        <v>53712.090950750004</v>
      </c>
      <c r="D15" s="11">
        <v>53711.640500000001</v>
      </c>
      <c r="E15" s="24" t="s">
        <v>53</v>
      </c>
      <c r="F15" s="21">
        <v>1</v>
      </c>
    </row>
    <row r="16" spans="1:6">
      <c r="A16" s="8" t="s">
        <v>5</v>
      </c>
      <c r="C16">
        <f ca="1">+C8+C12</f>
        <v>0.90091459325280432</v>
      </c>
      <c r="E16" s="24" t="s">
        <v>40</v>
      </c>
      <c r="F16" s="25">
        <f ca="1">NOW()+15018.5+$C$5/24</f>
        <v>60344.728332060185</v>
      </c>
    </row>
    <row r="17" spans="1:21" ht="13.5" thickBot="1">
      <c r="A17" s="24" t="s">
        <v>42</v>
      </c>
      <c r="B17" s="20"/>
      <c r="C17" s="20">
        <f>COUNT(C21:C2177)</f>
        <v>33</v>
      </c>
      <c r="E17" s="24" t="s">
        <v>54</v>
      </c>
      <c r="F17" s="25">
        <f ca="1">ROUND(2*(F16-$C$7)/$C$8,0)/2+F15</f>
        <v>38760</v>
      </c>
    </row>
    <row r="18" spans="1:21">
      <c r="A18" s="8" t="s">
        <v>6</v>
      </c>
      <c r="C18" s="3">
        <f>+C15</f>
        <v>53712.090950750004</v>
      </c>
      <c r="D18" s="4">
        <f ca="1">+C16</f>
        <v>0.90091459325280432</v>
      </c>
      <c r="E18" s="24" t="s">
        <v>41</v>
      </c>
      <c r="F18" s="36">
        <f ca="1">ROUND(2*(F16-$C$15)/$C$16,0)/2+F15</f>
        <v>7363</v>
      </c>
    </row>
    <row r="19" spans="1:21" ht="13.5" thickTop="1">
      <c r="E19" s="24" t="s">
        <v>43</v>
      </c>
      <c r="F19" s="28">
        <f ca="1">+$C$15+$C$16*F18-15018.5-$C$5/24</f>
        <v>45327.420934203736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63" t="s">
        <v>52</v>
      </c>
    </row>
    <row r="21" spans="1:21">
      <c r="A21" t="s">
        <v>13</v>
      </c>
      <c r="C21" s="15">
        <v>25426.51</v>
      </c>
      <c r="D21" s="15" t="s">
        <v>15</v>
      </c>
      <c r="E21">
        <f t="shared" ref="E21:E52" si="0">+(C21-C$7)/C$8</f>
        <v>0</v>
      </c>
      <c r="F21">
        <f t="shared" ref="F21:F53" si="1">ROUND(2*E21,0)/2</f>
        <v>0</v>
      </c>
      <c r="H21">
        <v>0</v>
      </c>
      <c r="Q21" s="2">
        <f t="shared" ref="Q21:Q52" si="2">+C21-15018.5</f>
        <v>10408.009999999998</v>
      </c>
    </row>
    <row r="22" spans="1:21">
      <c r="A22" s="59" t="s">
        <v>74</v>
      </c>
      <c r="B22" s="60" t="s">
        <v>51</v>
      </c>
      <c r="C22" s="62">
        <v>25426.510999999999</v>
      </c>
      <c r="D22" s="62" t="s">
        <v>57</v>
      </c>
      <c r="E22">
        <f t="shared" si="0"/>
        <v>1.1099992620766275E-3</v>
      </c>
      <c r="F22">
        <f t="shared" si="1"/>
        <v>0</v>
      </c>
      <c r="G22">
        <f t="shared" ref="G22:G50" si="3">+C22-(C$7+F22*C$8)</f>
        <v>1.0000000002037268E-3</v>
      </c>
      <c r="I22">
        <f t="shared" ref="I22:I38" si="4">+G22</f>
        <v>1.0000000002037268E-3</v>
      </c>
      <c r="Q22" s="2">
        <f t="shared" si="2"/>
        <v>10408.010999999999</v>
      </c>
    </row>
    <row r="23" spans="1:21">
      <c r="A23" s="59" t="s">
        <v>74</v>
      </c>
      <c r="B23" s="60" t="s">
        <v>51</v>
      </c>
      <c r="C23" s="62">
        <v>25435.518</v>
      </c>
      <c r="D23" s="62" t="s">
        <v>57</v>
      </c>
      <c r="E23">
        <f t="shared" si="0"/>
        <v>9.9988733507510315</v>
      </c>
      <c r="F23">
        <f t="shared" si="1"/>
        <v>10</v>
      </c>
      <c r="G23">
        <f t="shared" si="3"/>
        <v>-1.0149999980058055E-3</v>
      </c>
      <c r="I23">
        <f t="shared" si="4"/>
        <v>-1.0149999980058055E-3</v>
      </c>
      <c r="Q23" s="2">
        <f t="shared" si="2"/>
        <v>10417.018</v>
      </c>
    </row>
    <row r="24" spans="1:21">
      <c r="A24" s="59" t="s">
        <v>74</v>
      </c>
      <c r="B24" s="60" t="s">
        <v>51</v>
      </c>
      <c r="C24" s="62">
        <v>25527.388999999999</v>
      </c>
      <c r="D24" s="62" t="s">
        <v>57</v>
      </c>
      <c r="E24">
        <f t="shared" si="0"/>
        <v>111.97561553621657</v>
      </c>
      <c r="F24">
        <f t="shared" si="1"/>
        <v>112</v>
      </c>
      <c r="G24">
        <f t="shared" si="3"/>
        <v>-2.1968000000924803E-2</v>
      </c>
      <c r="I24">
        <f t="shared" si="4"/>
        <v>-2.1968000000924803E-2</v>
      </c>
      <c r="Q24" s="2">
        <f t="shared" si="2"/>
        <v>10508.888999999999</v>
      </c>
    </row>
    <row r="25" spans="1:21">
      <c r="A25" s="59" t="s">
        <v>74</v>
      </c>
      <c r="B25" s="60" t="s">
        <v>51</v>
      </c>
      <c r="C25" s="62">
        <v>25854.481</v>
      </c>
      <c r="D25" s="62" t="s">
        <v>57</v>
      </c>
      <c r="E25">
        <f t="shared" si="0"/>
        <v>475.04749409341792</v>
      </c>
      <c r="F25">
        <f t="shared" si="1"/>
        <v>475</v>
      </c>
      <c r="G25">
        <f t="shared" si="3"/>
        <v>4.2787500002305023E-2</v>
      </c>
      <c r="I25">
        <f t="shared" si="4"/>
        <v>4.2787500002305023E-2</v>
      </c>
      <c r="Q25" s="2">
        <f t="shared" si="2"/>
        <v>10835.981</v>
      </c>
    </row>
    <row r="26" spans="1:21">
      <c r="A26" s="59" t="s">
        <v>74</v>
      </c>
      <c r="B26" s="60" t="s">
        <v>51</v>
      </c>
      <c r="C26" s="62">
        <v>26189.538</v>
      </c>
      <c r="D26" s="62" t="s">
        <v>57</v>
      </c>
      <c r="E26">
        <f t="shared" si="0"/>
        <v>846.96051677125865</v>
      </c>
      <c r="F26">
        <f t="shared" si="1"/>
        <v>847</v>
      </c>
      <c r="G26">
        <f t="shared" si="3"/>
        <v>-3.5570499996538274E-2</v>
      </c>
      <c r="I26">
        <f t="shared" si="4"/>
        <v>-3.5570499996538274E-2</v>
      </c>
      <c r="Q26" s="2">
        <f t="shared" si="2"/>
        <v>11171.038</v>
      </c>
    </row>
    <row r="27" spans="1:21">
      <c r="A27" s="59" t="s">
        <v>74</v>
      </c>
      <c r="B27" s="60" t="s">
        <v>199</v>
      </c>
      <c r="C27" s="62">
        <v>31700.367999999999</v>
      </c>
      <c r="D27" s="62" t="s">
        <v>57</v>
      </c>
      <c r="E27">
        <f t="shared" si="0"/>
        <v>6963.9777489547969</v>
      </c>
      <c r="F27">
        <f t="shared" si="1"/>
        <v>6964</v>
      </c>
      <c r="G27">
        <f t="shared" si="3"/>
        <v>-2.0046000001457287E-2</v>
      </c>
      <c r="I27">
        <f t="shared" si="4"/>
        <v>-2.0046000001457287E-2</v>
      </c>
      <c r="Q27" s="2">
        <f t="shared" si="2"/>
        <v>16681.867999999999</v>
      </c>
    </row>
    <row r="28" spans="1:21">
      <c r="A28" s="59" t="s">
        <v>74</v>
      </c>
      <c r="B28" s="60" t="s">
        <v>51</v>
      </c>
      <c r="C28" s="62">
        <v>31732.394</v>
      </c>
      <c r="D28" s="62" t="s">
        <v>57</v>
      </c>
      <c r="E28">
        <f t="shared" si="0"/>
        <v>6999.526585314823</v>
      </c>
      <c r="F28">
        <f t="shared" si="1"/>
        <v>6999.5</v>
      </c>
      <c r="G28">
        <f t="shared" si="3"/>
        <v>2.3950750000949483E-2</v>
      </c>
      <c r="I28">
        <f t="shared" si="4"/>
        <v>2.3950750000949483E-2</v>
      </c>
      <c r="Q28" s="2">
        <f t="shared" si="2"/>
        <v>16713.894</v>
      </c>
    </row>
    <row r="29" spans="1:21">
      <c r="A29" s="59" t="s">
        <v>74</v>
      </c>
      <c r="B29" s="60" t="s">
        <v>199</v>
      </c>
      <c r="C29" s="62">
        <v>32063.432000000001</v>
      </c>
      <c r="D29" s="62" t="s">
        <v>57</v>
      </c>
      <c r="E29">
        <f t="shared" si="0"/>
        <v>7366.9785209592856</v>
      </c>
      <c r="F29">
        <f t="shared" si="1"/>
        <v>7367</v>
      </c>
      <c r="G29">
        <f t="shared" si="3"/>
        <v>-1.9350499998836312E-2</v>
      </c>
      <c r="I29">
        <f t="shared" si="4"/>
        <v>-1.9350499998836312E-2</v>
      </c>
      <c r="Q29" s="2">
        <f t="shared" si="2"/>
        <v>17044.932000000001</v>
      </c>
    </row>
    <row r="30" spans="1:21">
      <c r="A30" s="59" t="s">
        <v>74</v>
      </c>
      <c r="B30" s="60" t="s">
        <v>199</v>
      </c>
      <c r="C30" s="62">
        <v>33537.343999999997</v>
      </c>
      <c r="D30" s="62" t="s">
        <v>57</v>
      </c>
      <c r="E30">
        <f t="shared" si="0"/>
        <v>9003.0197529918623</v>
      </c>
      <c r="F30">
        <f t="shared" si="1"/>
        <v>9003</v>
      </c>
      <c r="G30">
        <f t="shared" si="3"/>
        <v>1.779549999628216E-2</v>
      </c>
      <c r="I30">
        <f t="shared" si="4"/>
        <v>1.779549999628216E-2</v>
      </c>
      <c r="Q30" s="2">
        <f t="shared" si="2"/>
        <v>18518.843999999997</v>
      </c>
    </row>
    <row r="31" spans="1:21">
      <c r="A31" s="59" t="s">
        <v>74</v>
      </c>
      <c r="B31" s="60" t="s">
        <v>199</v>
      </c>
      <c r="C31" s="62">
        <v>33891.347000000002</v>
      </c>
      <c r="D31" s="62" t="s">
        <v>57</v>
      </c>
      <c r="E31">
        <f t="shared" si="0"/>
        <v>9395.9628216847268</v>
      </c>
      <c r="F31">
        <f t="shared" si="1"/>
        <v>9396</v>
      </c>
      <c r="G31">
        <f t="shared" si="3"/>
        <v>-3.3493999995698687E-2</v>
      </c>
      <c r="I31">
        <f t="shared" si="4"/>
        <v>-3.3493999995698687E-2</v>
      </c>
      <c r="Q31" s="2">
        <f t="shared" si="2"/>
        <v>18872.847000000002</v>
      </c>
    </row>
    <row r="32" spans="1:21">
      <c r="A32" s="59" t="s">
        <v>74</v>
      </c>
      <c r="B32" s="60" t="s">
        <v>199</v>
      </c>
      <c r="C32" s="62">
        <v>34452.642</v>
      </c>
      <c r="D32" s="62" t="s">
        <v>57</v>
      </c>
      <c r="E32">
        <f t="shared" si="0"/>
        <v>10018.999857365096</v>
      </c>
      <c r="F32">
        <f t="shared" si="1"/>
        <v>10019</v>
      </c>
      <c r="G32">
        <f t="shared" si="3"/>
        <v>-1.2849999620812014E-4</v>
      </c>
      <c r="I32">
        <f t="shared" si="4"/>
        <v>-1.2849999620812014E-4</v>
      </c>
      <c r="Q32" s="2">
        <f t="shared" si="2"/>
        <v>19434.142</v>
      </c>
    </row>
    <row r="33" spans="1:31">
      <c r="A33" s="59" t="s">
        <v>74</v>
      </c>
      <c r="B33" s="60" t="s">
        <v>199</v>
      </c>
      <c r="C33" s="62">
        <v>34480.548000000003</v>
      </c>
      <c r="D33" s="62" t="s">
        <v>57</v>
      </c>
      <c r="E33">
        <f t="shared" si="0"/>
        <v>10049.975496766299</v>
      </c>
      <c r="F33">
        <f t="shared" si="1"/>
        <v>10050</v>
      </c>
      <c r="G33">
        <f t="shared" si="3"/>
        <v>-2.2074999993492384E-2</v>
      </c>
      <c r="I33">
        <f t="shared" si="4"/>
        <v>-2.2074999993492384E-2</v>
      </c>
      <c r="Q33" s="2">
        <f t="shared" si="2"/>
        <v>19462.048000000003</v>
      </c>
    </row>
    <row r="34" spans="1:31">
      <c r="A34" s="59" t="s">
        <v>74</v>
      </c>
      <c r="B34" s="60" t="s">
        <v>199</v>
      </c>
      <c r="C34" s="62">
        <v>34899.491999999998</v>
      </c>
      <c r="D34" s="62" t="s">
        <v>57</v>
      </c>
      <c r="E34">
        <f t="shared" si="0"/>
        <v>10515.003027522986</v>
      </c>
      <c r="F34">
        <f t="shared" si="1"/>
        <v>10515</v>
      </c>
      <c r="G34">
        <f t="shared" si="3"/>
        <v>2.7275000029476359E-3</v>
      </c>
      <c r="I34">
        <f t="shared" si="4"/>
        <v>2.7275000029476359E-3</v>
      </c>
      <c r="Q34" s="2">
        <f t="shared" si="2"/>
        <v>19880.991999999998</v>
      </c>
    </row>
    <row r="35" spans="1:31">
      <c r="A35" s="59" t="s">
        <v>74</v>
      </c>
      <c r="B35" s="60" t="s">
        <v>199</v>
      </c>
      <c r="C35" s="62">
        <v>34991.42</v>
      </c>
      <c r="D35" s="62" t="s">
        <v>57</v>
      </c>
      <c r="E35">
        <f t="shared" si="0"/>
        <v>10617.043039666378</v>
      </c>
      <c r="F35">
        <f t="shared" si="1"/>
        <v>10617</v>
      </c>
      <c r="G35">
        <f t="shared" si="3"/>
        <v>3.8774499997089151E-2</v>
      </c>
      <c r="I35">
        <f t="shared" si="4"/>
        <v>3.8774499997089151E-2</v>
      </c>
      <c r="Q35" s="2">
        <f t="shared" si="2"/>
        <v>19972.919999999998</v>
      </c>
    </row>
    <row r="36" spans="1:31">
      <c r="A36" s="59" t="s">
        <v>74</v>
      </c>
      <c r="B36" s="60" t="s">
        <v>199</v>
      </c>
      <c r="C36" s="62">
        <v>36307.553</v>
      </c>
      <c r="D36" s="62" t="s">
        <v>57</v>
      </c>
      <c r="E36">
        <f t="shared" si="0"/>
        <v>12077.949698163453</v>
      </c>
      <c r="F36">
        <f t="shared" si="1"/>
        <v>12078</v>
      </c>
      <c r="G36">
        <f t="shared" si="3"/>
        <v>-4.5316999996430241E-2</v>
      </c>
      <c r="I36">
        <f t="shared" si="4"/>
        <v>-4.5316999996430241E-2</v>
      </c>
      <c r="Q36" s="2">
        <f t="shared" si="2"/>
        <v>21289.053</v>
      </c>
    </row>
    <row r="37" spans="1:31">
      <c r="A37" s="59" t="s">
        <v>74</v>
      </c>
      <c r="B37" s="60" t="s">
        <v>199</v>
      </c>
      <c r="C37" s="62">
        <v>37081.521999999997</v>
      </c>
      <c r="D37" s="62" t="s">
        <v>57</v>
      </c>
      <c r="E37">
        <f t="shared" si="0"/>
        <v>12937.054716858611</v>
      </c>
      <c r="F37">
        <f t="shared" si="1"/>
        <v>12937</v>
      </c>
      <c r="G37">
        <f t="shared" si="3"/>
        <v>4.929450000054203E-2</v>
      </c>
      <c r="I37">
        <f t="shared" si="4"/>
        <v>4.929450000054203E-2</v>
      </c>
      <c r="Q37" s="2">
        <f t="shared" si="2"/>
        <v>22063.021999999997</v>
      </c>
    </row>
    <row r="38" spans="1:31">
      <c r="A38" t="s">
        <v>32</v>
      </c>
      <c r="C38" s="61">
        <v>50944.51</v>
      </c>
      <c r="D38" s="15">
        <v>3.0000000000000001E-3</v>
      </c>
      <c r="E38">
        <f t="shared" si="0"/>
        <v>28324.961163900829</v>
      </c>
      <c r="F38">
        <f t="shared" si="1"/>
        <v>28325</v>
      </c>
      <c r="G38">
        <f t="shared" si="3"/>
        <v>-3.4987499995622784E-2</v>
      </c>
      <c r="J38">
        <f>+G38</f>
        <v>-3.4987499995622784E-2</v>
      </c>
      <c r="Q38" s="2">
        <f t="shared" si="2"/>
        <v>35926.01</v>
      </c>
      <c r="AA38">
        <v>12</v>
      </c>
      <c r="AC38" t="s">
        <v>31</v>
      </c>
      <c r="AE38" t="s">
        <v>33</v>
      </c>
    </row>
    <row r="39" spans="1:31">
      <c r="A39" s="59" t="s">
        <v>131</v>
      </c>
      <c r="B39" s="60" t="s">
        <v>51</v>
      </c>
      <c r="C39" s="62">
        <v>53227.395900000003</v>
      </c>
      <c r="D39" s="62" t="s">
        <v>57</v>
      </c>
      <c r="E39">
        <f t="shared" si="0"/>
        <v>30858.962827789725</v>
      </c>
      <c r="F39">
        <f t="shared" si="1"/>
        <v>30859</v>
      </c>
      <c r="G39">
        <f t="shared" si="3"/>
        <v>-3.3488499997474719E-2</v>
      </c>
      <c r="I39">
        <f>+G39</f>
        <v>-3.3488499997474719E-2</v>
      </c>
      <c r="O39">
        <f t="shared" ref="O39:O52" ca="1" si="5">+C$11+C$12*F39</f>
        <v>-3.4014859740485515E-2</v>
      </c>
      <c r="Q39" s="2">
        <f t="shared" si="2"/>
        <v>38208.895900000003</v>
      </c>
    </row>
    <row r="40" spans="1:31">
      <c r="A40" s="59" t="s">
        <v>131</v>
      </c>
      <c r="B40" s="60" t="s">
        <v>199</v>
      </c>
      <c r="C40" s="62">
        <v>53258.489500000003</v>
      </c>
      <c r="D40" s="62" t="s">
        <v>57</v>
      </c>
      <c r="E40">
        <f t="shared" si="0"/>
        <v>30893.476700838</v>
      </c>
      <c r="F40">
        <f t="shared" si="1"/>
        <v>30893.5</v>
      </c>
      <c r="G40">
        <f t="shared" si="3"/>
        <v>-2.099024999915855E-2</v>
      </c>
      <c r="I40">
        <f>+G40</f>
        <v>-2.099024999915855E-2</v>
      </c>
      <c r="O40">
        <f t="shared" ca="1" si="5"/>
        <v>-3.3563142518736655E-2</v>
      </c>
      <c r="Q40" s="2">
        <f t="shared" si="2"/>
        <v>38239.989500000003</v>
      </c>
    </row>
    <row r="41" spans="1:31">
      <c r="A41" s="8" t="s">
        <v>34</v>
      </c>
      <c r="C41" s="61">
        <v>53711.640500000001</v>
      </c>
      <c r="D41" s="15">
        <v>1E-3</v>
      </c>
      <c r="E41">
        <f t="shared" si="0"/>
        <v>31396.473976344809</v>
      </c>
      <c r="F41">
        <f t="shared" si="1"/>
        <v>31396.5</v>
      </c>
      <c r="G41">
        <f t="shared" si="3"/>
        <v>-2.3444749996997416E-2</v>
      </c>
      <c r="K41">
        <f t="shared" ref="K39:K50" si="6">+G41</f>
        <v>-2.3444749996997416E-2</v>
      </c>
      <c r="O41">
        <f t="shared" ca="1" si="5"/>
        <v>-2.6977236358166179E-2</v>
      </c>
      <c r="Q41" s="2">
        <f t="shared" si="2"/>
        <v>38693.140500000001</v>
      </c>
    </row>
    <row r="42" spans="1:31">
      <c r="A42" s="59" t="s">
        <v>45</v>
      </c>
      <c r="B42" s="60" t="s">
        <v>51</v>
      </c>
      <c r="C42" s="62">
        <v>53821.998899999999</v>
      </c>
      <c r="D42" s="62" t="s">
        <v>57</v>
      </c>
      <c r="E42">
        <f t="shared" si="0"/>
        <v>31518.971718883808</v>
      </c>
      <c r="F42">
        <f t="shared" si="1"/>
        <v>31519</v>
      </c>
      <c r="G42">
        <f t="shared" si="3"/>
        <v>-2.5478499999735504E-2</v>
      </c>
      <c r="I42">
        <f>+G42</f>
        <v>-2.5478499999735504E-2</v>
      </c>
      <c r="O42">
        <f t="shared" ca="1" si="5"/>
        <v>-2.5373312889637567E-2</v>
      </c>
      <c r="Q42" s="2">
        <f t="shared" si="2"/>
        <v>38803.498899999999</v>
      </c>
    </row>
    <row r="43" spans="1:31">
      <c r="A43" s="8" t="s">
        <v>200</v>
      </c>
      <c r="C43" s="15">
        <v>53821.999100000001</v>
      </c>
      <c r="D43" s="15">
        <v>5.0000000000000001E-4</v>
      </c>
      <c r="E43">
        <f t="shared" si="0"/>
        <v>31518.971940883661</v>
      </c>
      <c r="F43">
        <f t="shared" si="1"/>
        <v>31519</v>
      </c>
      <c r="G43">
        <f t="shared" si="3"/>
        <v>-2.5278499997511972E-2</v>
      </c>
      <c r="K43">
        <f t="shared" si="6"/>
        <v>-2.5278499997511972E-2</v>
      </c>
      <c r="O43">
        <f t="shared" ca="1" si="5"/>
        <v>-2.5373312889637567E-2</v>
      </c>
      <c r="Q43" s="2">
        <f t="shared" si="2"/>
        <v>38803.499100000001</v>
      </c>
    </row>
    <row r="44" spans="1:31">
      <c r="A44" s="59" t="s">
        <v>155</v>
      </c>
      <c r="B44" s="60" t="s">
        <v>51</v>
      </c>
      <c r="C44" s="62">
        <v>54019.294000000002</v>
      </c>
      <c r="D44" s="62" t="s">
        <v>57</v>
      </c>
      <c r="E44">
        <f t="shared" si="0"/>
        <v>31737.969134250528</v>
      </c>
      <c r="F44">
        <f t="shared" si="1"/>
        <v>31738</v>
      </c>
      <c r="G44">
        <f t="shared" si="3"/>
        <v>-2.7806999998574611E-2</v>
      </c>
      <c r="I44">
        <f>+G44</f>
        <v>-2.7806999998574611E-2</v>
      </c>
      <c r="O44">
        <f t="shared" ca="1" si="5"/>
        <v>-2.2505890525492567E-2</v>
      </c>
      <c r="Q44" s="2">
        <f t="shared" si="2"/>
        <v>39000.794000000002</v>
      </c>
    </row>
    <row r="45" spans="1:31">
      <c r="A45" s="59" t="s">
        <v>161</v>
      </c>
      <c r="B45" s="60" t="s">
        <v>51</v>
      </c>
      <c r="C45" s="62">
        <v>54981.471799999999</v>
      </c>
      <c r="D45" s="62" t="s">
        <v>57</v>
      </c>
      <c r="E45">
        <f t="shared" si="0"/>
        <v>32805.985782019452</v>
      </c>
      <c r="F45">
        <f t="shared" si="1"/>
        <v>32806</v>
      </c>
      <c r="G45">
        <f t="shared" si="3"/>
        <v>-1.2808999999833759E-2</v>
      </c>
      <c r="I45">
        <f>+G45</f>
        <v>-1.2808999999833759E-2</v>
      </c>
      <c r="O45">
        <f t="shared" ca="1" si="5"/>
        <v>-8.5222965304840859E-3</v>
      </c>
      <c r="Q45" s="2">
        <f t="shared" si="2"/>
        <v>39962.971799999999</v>
      </c>
    </row>
    <row r="46" spans="1:31">
      <c r="A46" s="59" t="s">
        <v>48</v>
      </c>
      <c r="B46" s="60" t="s">
        <v>51</v>
      </c>
      <c r="C46" s="62">
        <v>55115.706400000003</v>
      </c>
      <c r="D46" s="62" t="s">
        <v>57</v>
      </c>
      <c r="E46">
        <f t="shared" si="0"/>
        <v>32954.986088934253</v>
      </c>
      <c r="F46">
        <f t="shared" si="1"/>
        <v>32955</v>
      </c>
      <c r="G46">
        <f t="shared" si="3"/>
        <v>-1.2532499997178093E-2</v>
      </c>
      <c r="I46">
        <f>+G46</f>
        <v>-1.2532499997178093E-2</v>
      </c>
      <c r="O46">
        <f t="shared" ca="1" si="5"/>
        <v>-6.5714018626411019E-3</v>
      </c>
      <c r="Q46" s="2">
        <f t="shared" si="2"/>
        <v>40097.206400000003</v>
      </c>
    </row>
    <row r="47" spans="1:31">
      <c r="A47" s="59" t="s">
        <v>173</v>
      </c>
      <c r="B47" s="60" t="s">
        <v>51</v>
      </c>
      <c r="C47" s="62">
        <v>55382.390700000004</v>
      </c>
      <c r="D47" s="62" t="s">
        <v>57</v>
      </c>
      <c r="E47">
        <f t="shared" si="0"/>
        <v>33251.005465081369</v>
      </c>
      <c r="F47">
        <f t="shared" si="1"/>
        <v>33251</v>
      </c>
      <c r="G47">
        <f t="shared" si="3"/>
        <v>4.9235000042244792E-3</v>
      </c>
      <c r="I47">
        <f>+G47</f>
        <v>4.9235000042244792E-3</v>
      </c>
      <c r="O47">
        <f t="shared" ca="1" si="5"/>
        <v>-2.6957990325638392E-3</v>
      </c>
      <c r="Q47" s="2">
        <f t="shared" si="2"/>
        <v>40363.890700000004</v>
      </c>
    </row>
    <row r="48" spans="1:31">
      <c r="A48" s="59" t="s">
        <v>178</v>
      </c>
      <c r="B48" s="60" t="s">
        <v>51</v>
      </c>
      <c r="C48" s="62">
        <v>55799.495600000002</v>
      </c>
      <c r="D48" s="62" t="s">
        <v>57</v>
      </c>
      <c r="E48">
        <f t="shared" si="0"/>
        <v>33713.991596195592</v>
      </c>
      <c r="F48">
        <f t="shared" si="1"/>
        <v>33714</v>
      </c>
      <c r="G48">
        <f t="shared" si="3"/>
        <v>-7.5710000019171275E-3</v>
      </c>
      <c r="I48">
        <f>+G48</f>
        <v>-7.5710000019171275E-3</v>
      </c>
      <c r="O48">
        <f t="shared" ca="1" si="5"/>
        <v>3.3663770158340323E-3</v>
      </c>
      <c r="Q48" s="2">
        <f t="shared" si="2"/>
        <v>40780.995600000002</v>
      </c>
    </row>
    <row r="49" spans="1:21">
      <c r="A49" s="59" t="s">
        <v>184</v>
      </c>
      <c r="B49" s="60" t="s">
        <v>199</v>
      </c>
      <c r="C49" s="62">
        <v>55832.391799999998</v>
      </c>
      <c r="D49" s="62" t="s">
        <v>57</v>
      </c>
      <c r="E49">
        <f t="shared" si="0"/>
        <v>33750.506353913275</v>
      </c>
      <c r="F49">
        <f t="shared" si="1"/>
        <v>33750.5</v>
      </c>
      <c r="G49">
        <f t="shared" si="3"/>
        <v>5.724249997001607E-3</v>
      </c>
      <c r="I49">
        <f>+G49</f>
        <v>5.724249997001607E-3</v>
      </c>
      <c r="O49">
        <f t="shared" ca="1" si="5"/>
        <v>3.8442807431915416E-3</v>
      </c>
      <c r="Q49" s="2">
        <f t="shared" si="2"/>
        <v>40813.891799999998</v>
      </c>
    </row>
    <row r="50" spans="1:21">
      <c r="A50" s="59" t="s">
        <v>189</v>
      </c>
      <c r="B50" s="60" t="s">
        <v>51</v>
      </c>
      <c r="C50" s="62">
        <v>55836.436399999999</v>
      </c>
      <c r="D50" s="62" t="s">
        <v>57</v>
      </c>
      <c r="E50">
        <f t="shared" si="0"/>
        <v>33754.995856927751</v>
      </c>
      <c r="F50">
        <f t="shared" si="1"/>
        <v>33755</v>
      </c>
      <c r="G50">
        <f t="shared" si="3"/>
        <v>-3.7325000012060627E-3</v>
      </c>
      <c r="I50">
        <f>+G50</f>
        <v>-3.7325000012060627E-3</v>
      </c>
      <c r="O50">
        <f t="shared" ca="1" si="5"/>
        <v>3.9032003808109339E-3</v>
      </c>
      <c r="Q50" s="2">
        <f t="shared" si="2"/>
        <v>40817.936399999999</v>
      </c>
    </row>
    <row r="51" spans="1:21">
      <c r="A51" s="59" t="s">
        <v>194</v>
      </c>
      <c r="B51" s="60" t="s">
        <v>199</v>
      </c>
      <c r="C51" s="62">
        <v>56157.491600000001</v>
      </c>
      <c r="D51" s="62" t="s">
        <v>57</v>
      </c>
      <c r="E51">
        <f t="shared" si="0"/>
        <v>34111.366891941019</v>
      </c>
      <c r="F51">
        <f t="shared" si="1"/>
        <v>34111.5</v>
      </c>
      <c r="O51">
        <f t="shared" ca="1" si="5"/>
        <v>8.5709450055492797E-3</v>
      </c>
      <c r="Q51" s="2">
        <f t="shared" si="2"/>
        <v>41138.991600000001</v>
      </c>
      <c r="U51">
        <f>+C51-(C$7+F51*C$8)</f>
        <v>-0.11991724999825237</v>
      </c>
    </row>
    <row r="52" spans="1:21">
      <c r="A52" s="59" t="s">
        <v>184</v>
      </c>
      <c r="B52" s="60" t="s">
        <v>51</v>
      </c>
      <c r="C52" s="62">
        <v>56490.501199999999</v>
      </c>
      <c r="D52" s="62" t="s">
        <v>57</v>
      </c>
      <c r="E52">
        <f t="shared" si="0"/>
        <v>34481.007302130143</v>
      </c>
      <c r="F52">
        <f t="shared" si="1"/>
        <v>34481</v>
      </c>
      <c r="G52">
        <f>+C52-(C$7+F52*C$8)</f>
        <v>6.5785000042524189E-3</v>
      </c>
      <c r="I52">
        <f>+G52</f>
        <v>6.5785000042524189E-3</v>
      </c>
      <c r="O52">
        <f t="shared" ca="1" si="5"/>
        <v>1.340890191674371E-2</v>
      </c>
      <c r="Q52" s="2">
        <f t="shared" si="2"/>
        <v>41472.001199999999</v>
      </c>
    </row>
    <row r="53" spans="1:21">
      <c r="A53" s="64" t="s">
        <v>0</v>
      </c>
      <c r="B53" s="65" t="s">
        <v>51</v>
      </c>
      <c r="C53" s="65">
        <v>57940.544900000001</v>
      </c>
      <c r="D53" s="65">
        <v>1E-4</v>
      </c>
      <c r="E53">
        <f>+(C53-C$7)/C$8</f>
        <v>36090.554738781102</v>
      </c>
      <c r="F53">
        <f t="shared" si="1"/>
        <v>36090.5</v>
      </c>
      <c r="G53">
        <f>+C53-(C$7+F53*C$8)</f>
        <v>4.9314249998133164E-2</v>
      </c>
      <c r="K53">
        <f>+G53</f>
        <v>4.9314249998133164E-2</v>
      </c>
      <c r="O53">
        <f ca="1">+C$11+C$12*F53</f>
        <v>3.4482492305288825E-2</v>
      </c>
      <c r="Q53" s="2">
        <f>+C53-15018.5</f>
        <v>42922.044900000001</v>
      </c>
    </row>
  </sheetData>
  <phoneticPr fontId="7" type="noConversion"/>
  <hyperlinks>
    <hyperlink ref="H64610" r:id="rId1" display="http://vsolj.cetus-net.org/bulletin.html"/>
    <hyperlink ref="H64603" r:id="rId2" display="https://www.aavso.org/ejaavso"/>
    <hyperlink ref="AP754" r:id="rId3" display="http://cdsbib.u-strasbg.fr/cgi-bin/cdsbib?1990RMxAA..21..381G"/>
    <hyperlink ref="AP758" r:id="rId4" display="http://cdsbib.u-strasbg.fr/cgi-bin/cdsbib?1990RMxAA..21..381G"/>
    <hyperlink ref="AP757" r:id="rId5" display="http://cdsbib.u-strasbg.fr/cgi-bin/cdsbib?1990RMxAA..21..381G"/>
    <hyperlink ref="AP738" r:id="rId6" display="http://cdsbib.u-strasbg.fr/cgi-bin/cdsbib?1990RMxAA..21..381G"/>
    <hyperlink ref="I64610" r:id="rId7" display="http://vsolj.cetus-net.org/bulletin.html"/>
    <hyperlink ref="AQ894" r:id="rId8" display="http://cdsbib.u-strasbg.fr/cgi-bin/cdsbib?1990RMxAA..21..381G"/>
    <hyperlink ref="AQ55660" r:id="rId9" display="http://cdsbib.u-strasbg.fr/cgi-bin/cdsbib?1990RMxAA..21..381G"/>
    <hyperlink ref="AQ895" r:id="rId10" display="http://cdsbib.u-strasbg.fr/cgi-bin/cdsbib?1990RMxAA..21..381G"/>
    <hyperlink ref="H64607" r:id="rId11" display="https://www.aavso.org/ejaavso"/>
    <hyperlink ref="H1780" r:id="rId12" display="http://vsolj.cetus-net.org/bulletin.html"/>
    <hyperlink ref="AP3024" r:id="rId13" display="http://cdsbib.u-strasbg.fr/cgi-bin/cdsbib?1990RMxAA..21..381G"/>
    <hyperlink ref="AP3027" r:id="rId14" display="http://cdsbib.u-strasbg.fr/cgi-bin/cdsbib?1990RMxAA..21..381G"/>
    <hyperlink ref="AP3025" r:id="rId15" display="http://cdsbib.u-strasbg.fr/cgi-bin/cdsbib?1990RMxAA..21..381G"/>
    <hyperlink ref="AP3009" r:id="rId16" display="http://cdsbib.u-strasbg.fr/cgi-bin/cdsbib?1990RMxAA..21..381G"/>
    <hyperlink ref="I1780" r:id="rId17" display="http://vsolj.cetus-net.org/bulletin.html"/>
    <hyperlink ref="AQ3238" r:id="rId18" display="http://cdsbib.u-strasbg.fr/cgi-bin/cdsbib?1990RMxAA..21..381G"/>
    <hyperlink ref="AQ65475" r:id="rId19" display="http://cdsbib.u-strasbg.fr/cgi-bin/cdsbib?1990RMxAA..21..381G"/>
    <hyperlink ref="AQ324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workbookViewId="0">
      <selection activeCell="A12" sqref="A12:D40"/>
    </sheetView>
  </sheetViews>
  <sheetFormatPr defaultRowHeight="12.75"/>
  <cols>
    <col min="1" max="1" width="19.7109375" style="15" customWidth="1"/>
    <col min="2" max="2" width="4.42578125" style="20" customWidth="1"/>
    <col min="3" max="3" width="12.7109375" style="1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6" t="s">
        <v>62</v>
      </c>
      <c r="I1" s="47" t="s">
        <v>63</v>
      </c>
      <c r="J1" s="48" t="s">
        <v>59</v>
      </c>
    </row>
    <row r="2" spans="1:16">
      <c r="I2" s="49" t="s">
        <v>64</v>
      </c>
      <c r="J2" s="50" t="s">
        <v>58</v>
      </c>
    </row>
    <row r="3" spans="1:16">
      <c r="A3" s="51" t="s">
        <v>65</v>
      </c>
      <c r="I3" s="49" t="s">
        <v>66</v>
      </c>
      <c r="J3" s="50" t="s">
        <v>56</v>
      </c>
    </row>
    <row r="4" spans="1:16">
      <c r="I4" s="49" t="s">
        <v>67</v>
      </c>
      <c r="J4" s="50" t="s">
        <v>56</v>
      </c>
    </row>
    <row r="5" spans="1:16" ht="13.5" thickBot="1">
      <c r="I5" s="52" t="s">
        <v>68</v>
      </c>
      <c r="J5" s="53" t="s">
        <v>57</v>
      </c>
    </row>
    <row r="10" spans="1:16" ht="13.5" thickBot="1"/>
    <row r="11" spans="1:16" ht="12.75" customHeight="1" thickBot="1">
      <c r="A11" s="15" t="str">
        <f t="shared" ref="A11:A40" si="0">P11</f>
        <v> BBS 118 </v>
      </c>
      <c r="B11" s="6" t="str">
        <f t="shared" ref="B11:B40" si="1">IF(H11=INT(H11),"I","II")</f>
        <v>I</v>
      </c>
      <c r="C11" s="15">
        <f t="shared" ref="C11:C40" si="2">1*G11</f>
        <v>50944.51</v>
      </c>
      <c r="D11" s="20" t="str">
        <f t="shared" ref="D11:D40" si="3">VLOOKUP(F11,I$1:J$5,2,FALSE)</f>
        <v>vis</v>
      </c>
      <c r="E11" s="54">
        <f>VLOOKUP(C11,Active!C$21:E$972,3,FALSE)</f>
        <v>28324.961163900829</v>
      </c>
      <c r="F11" s="6" t="s">
        <v>68</v>
      </c>
      <c r="G11" s="20" t="str">
        <f t="shared" ref="G11:G40" si="4">MID(I11,3,LEN(I11)-3)</f>
        <v>50944.510</v>
      </c>
      <c r="H11" s="15">
        <f t="shared" ref="H11:H40" si="5">1*K11</f>
        <v>28326</v>
      </c>
      <c r="I11" s="55" t="s">
        <v>119</v>
      </c>
      <c r="J11" s="56" t="s">
        <v>120</v>
      </c>
      <c r="K11" s="55">
        <v>28326</v>
      </c>
      <c r="L11" s="55" t="s">
        <v>121</v>
      </c>
      <c r="M11" s="56" t="s">
        <v>122</v>
      </c>
      <c r="N11" s="56" t="s">
        <v>123</v>
      </c>
      <c r="O11" s="57" t="s">
        <v>124</v>
      </c>
      <c r="P11" s="57" t="s">
        <v>125</v>
      </c>
    </row>
    <row r="12" spans="1:16" ht="12.75" customHeight="1" thickBot="1">
      <c r="A12" s="15" t="str">
        <f t="shared" si="0"/>
        <v> MVS 573 </v>
      </c>
      <c r="B12" s="6" t="str">
        <f t="shared" si="1"/>
        <v>I</v>
      </c>
      <c r="C12" s="15">
        <f t="shared" si="2"/>
        <v>25426.510999999999</v>
      </c>
      <c r="D12" s="20" t="str">
        <f t="shared" si="3"/>
        <v>vis</v>
      </c>
      <c r="E12" s="54">
        <f>VLOOKUP(C12,Active!C$21:E$972,3,FALSE)</f>
        <v>1.1099992620766275E-3</v>
      </c>
      <c r="F12" s="6" t="s">
        <v>68</v>
      </c>
      <c r="G12" s="20" t="str">
        <f t="shared" si="4"/>
        <v>25426.511</v>
      </c>
      <c r="H12" s="15">
        <f t="shared" si="5"/>
        <v>0</v>
      </c>
      <c r="I12" s="55" t="s">
        <v>69</v>
      </c>
      <c r="J12" s="56" t="s">
        <v>70</v>
      </c>
      <c r="K12" s="55">
        <v>0</v>
      </c>
      <c r="L12" s="55" t="s">
        <v>71</v>
      </c>
      <c r="M12" s="56" t="s">
        <v>72</v>
      </c>
      <c r="N12" s="56"/>
      <c r="O12" s="57" t="s">
        <v>73</v>
      </c>
      <c r="P12" s="57" t="s">
        <v>74</v>
      </c>
    </row>
    <row r="13" spans="1:16" ht="12.75" customHeight="1" thickBot="1">
      <c r="A13" s="15" t="str">
        <f t="shared" si="0"/>
        <v> MVS 573 </v>
      </c>
      <c r="B13" s="6" t="str">
        <f t="shared" si="1"/>
        <v>I</v>
      </c>
      <c r="C13" s="15">
        <f t="shared" si="2"/>
        <v>25435.518</v>
      </c>
      <c r="D13" s="20" t="str">
        <f t="shared" si="3"/>
        <v>vis</v>
      </c>
      <c r="E13" s="54">
        <f>VLOOKUP(C13,Active!C$21:E$972,3,FALSE)</f>
        <v>9.9988733507510315</v>
      </c>
      <c r="F13" s="6" t="s">
        <v>68</v>
      </c>
      <c r="G13" s="20" t="str">
        <f t="shared" si="4"/>
        <v>25435.518</v>
      </c>
      <c r="H13" s="15">
        <f t="shared" si="5"/>
        <v>10</v>
      </c>
      <c r="I13" s="55" t="s">
        <v>75</v>
      </c>
      <c r="J13" s="56" t="s">
        <v>76</v>
      </c>
      <c r="K13" s="55">
        <v>10</v>
      </c>
      <c r="L13" s="55" t="s">
        <v>77</v>
      </c>
      <c r="M13" s="56" t="s">
        <v>72</v>
      </c>
      <c r="N13" s="56"/>
      <c r="O13" s="57" t="s">
        <v>73</v>
      </c>
      <c r="P13" s="57" t="s">
        <v>74</v>
      </c>
    </row>
    <row r="14" spans="1:16" ht="12.75" customHeight="1" thickBot="1">
      <c r="A14" s="15" t="str">
        <f t="shared" si="0"/>
        <v> MVS 573 </v>
      </c>
      <c r="B14" s="6" t="str">
        <f t="shared" si="1"/>
        <v>I</v>
      </c>
      <c r="C14" s="15">
        <f t="shared" si="2"/>
        <v>25527.388999999999</v>
      </c>
      <c r="D14" s="20" t="str">
        <f t="shared" si="3"/>
        <v>vis</v>
      </c>
      <c r="E14" s="54">
        <f>VLOOKUP(C14,Active!C$21:E$972,3,FALSE)</f>
        <v>111.97561553621657</v>
      </c>
      <c r="F14" s="6" t="s">
        <v>68</v>
      </c>
      <c r="G14" s="20" t="str">
        <f t="shared" si="4"/>
        <v>25527.389</v>
      </c>
      <c r="H14" s="15">
        <f t="shared" si="5"/>
        <v>112</v>
      </c>
      <c r="I14" s="55" t="s">
        <v>78</v>
      </c>
      <c r="J14" s="56" t="s">
        <v>79</v>
      </c>
      <c r="K14" s="55">
        <v>112</v>
      </c>
      <c r="L14" s="55" t="s">
        <v>80</v>
      </c>
      <c r="M14" s="56" t="s">
        <v>72</v>
      </c>
      <c r="N14" s="56"/>
      <c r="O14" s="57" t="s">
        <v>73</v>
      </c>
      <c r="P14" s="57" t="s">
        <v>74</v>
      </c>
    </row>
    <row r="15" spans="1:16" ht="12.75" customHeight="1" thickBot="1">
      <c r="A15" s="15" t="str">
        <f t="shared" si="0"/>
        <v> MVS 573 </v>
      </c>
      <c r="B15" s="6" t="str">
        <f t="shared" si="1"/>
        <v>I</v>
      </c>
      <c r="C15" s="15">
        <f t="shared" si="2"/>
        <v>25854.481</v>
      </c>
      <c r="D15" s="20" t="str">
        <f t="shared" si="3"/>
        <v>vis</v>
      </c>
      <c r="E15" s="54">
        <f>VLOOKUP(C15,Active!C$21:E$972,3,FALSE)</f>
        <v>475.04749409341792</v>
      </c>
      <c r="F15" s="6" t="s">
        <v>68</v>
      </c>
      <c r="G15" s="20" t="str">
        <f t="shared" si="4"/>
        <v>25854.481</v>
      </c>
      <c r="H15" s="15">
        <f t="shared" si="5"/>
        <v>475</v>
      </c>
      <c r="I15" s="55" t="s">
        <v>81</v>
      </c>
      <c r="J15" s="56" t="s">
        <v>82</v>
      </c>
      <c r="K15" s="55">
        <v>475</v>
      </c>
      <c r="L15" s="55" t="s">
        <v>83</v>
      </c>
      <c r="M15" s="56" t="s">
        <v>72</v>
      </c>
      <c r="N15" s="56"/>
      <c r="O15" s="57" t="s">
        <v>73</v>
      </c>
      <c r="P15" s="57" t="s">
        <v>74</v>
      </c>
    </row>
    <row r="16" spans="1:16" ht="12.75" customHeight="1" thickBot="1">
      <c r="A16" s="15" t="str">
        <f t="shared" si="0"/>
        <v> MVS 573 </v>
      </c>
      <c r="B16" s="6" t="str">
        <f t="shared" si="1"/>
        <v>I</v>
      </c>
      <c r="C16" s="15">
        <f t="shared" si="2"/>
        <v>26189.538</v>
      </c>
      <c r="D16" s="20" t="str">
        <f t="shared" si="3"/>
        <v>vis</v>
      </c>
      <c r="E16" s="54">
        <f>VLOOKUP(C16,Active!C$21:E$972,3,FALSE)</f>
        <v>846.96051677125865</v>
      </c>
      <c r="F16" s="6" t="s">
        <v>68</v>
      </c>
      <c r="G16" s="20" t="str">
        <f t="shared" si="4"/>
        <v>26189.538</v>
      </c>
      <c r="H16" s="15">
        <f t="shared" si="5"/>
        <v>847</v>
      </c>
      <c r="I16" s="55" t="s">
        <v>84</v>
      </c>
      <c r="J16" s="56" t="s">
        <v>85</v>
      </c>
      <c r="K16" s="55">
        <v>847</v>
      </c>
      <c r="L16" s="55" t="s">
        <v>86</v>
      </c>
      <c r="M16" s="56" t="s">
        <v>72</v>
      </c>
      <c r="N16" s="56"/>
      <c r="O16" s="57" t="s">
        <v>73</v>
      </c>
      <c r="P16" s="57" t="s">
        <v>74</v>
      </c>
    </row>
    <row r="17" spans="1:16" ht="12.75" customHeight="1" thickBot="1">
      <c r="A17" s="15" t="str">
        <f t="shared" si="0"/>
        <v> MVS 573 </v>
      </c>
      <c r="B17" s="6" t="str">
        <f t="shared" si="1"/>
        <v>II</v>
      </c>
      <c r="C17" s="15">
        <f t="shared" si="2"/>
        <v>31700.367999999999</v>
      </c>
      <c r="D17" s="20" t="str">
        <f t="shared" si="3"/>
        <v>vis</v>
      </c>
      <c r="E17" s="54">
        <f>VLOOKUP(C17,Active!C$21:E$972,3,FALSE)</f>
        <v>6963.9777489547969</v>
      </c>
      <c r="F17" s="6" t="s">
        <v>68</v>
      </c>
      <c r="G17" s="20" t="str">
        <f t="shared" si="4"/>
        <v>31700.368</v>
      </c>
      <c r="H17" s="15">
        <f t="shared" si="5"/>
        <v>6964.5</v>
      </c>
      <c r="I17" s="55" t="s">
        <v>87</v>
      </c>
      <c r="J17" s="56" t="s">
        <v>88</v>
      </c>
      <c r="K17" s="55">
        <v>6964.5</v>
      </c>
      <c r="L17" s="55" t="s">
        <v>89</v>
      </c>
      <c r="M17" s="56" t="s">
        <v>72</v>
      </c>
      <c r="N17" s="56"/>
      <c r="O17" s="57" t="s">
        <v>73</v>
      </c>
      <c r="P17" s="57" t="s">
        <v>74</v>
      </c>
    </row>
    <row r="18" spans="1:16" ht="12.75" customHeight="1" thickBot="1">
      <c r="A18" s="15" t="str">
        <f t="shared" si="0"/>
        <v> MVS 573 </v>
      </c>
      <c r="B18" s="6" t="str">
        <f t="shared" si="1"/>
        <v>I</v>
      </c>
      <c r="C18" s="15">
        <f t="shared" si="2"/>
        <v>31732.394</v>
      </c>
      <c r="D18" s="20" t="str">
        <f t="shared" si="3"/>
        <v>vis</v>
      </c>
      <c r="E18" s="54">
        <f>VLOOKUP(C18,Active!C$21:E$972,3,FALSE)</f>
        <v>6999.526585314823</v>
      </c>
      <c r="F18" s="6" t="s">
        <v>68</v>
      </c>
      <c r="G18" s="20" t="str">
        <f t="shared" si="4"/>
        <v>31732.394</v>
      </c>
      <c r="H18" s="15">
        <f t="shared" si="5"/>
        <v>7000</v>
      </c>
      <c r="I18" s="55" t="s">
        <v>90</v>
      </c>
      <c r="J18" s="56" t="s">
        <v>91</v>
      </c>
      <c r="K18" s="55">
        <v>7000</v>
      </c>
      <c r="L18" s="55" t="s">
        <v>92</v>
      </c>
      <c r="M18" s="56" t="s">
        <v>72</v>
      </c>
      <c r="N18" s="56"/>
      <c r="O18" s="57" t="s">
        <v>73</v>
      </c>
      <c r="P18" s="57" t="s">
        <v>74</v>
      </c>
    </row>
    <row r="19" spans="1:16" ht="12.75" customHeight="1" thickBot="1">
      <c r="A19" s="15" t="str">
        <f t="shared" si="0"/>
        <v> MVS 573 </v>
      </c>
      <c r="B19" s="6" t="str">
        <f t="shared" si="1"/>
        <v>II</v>
      </c>
      <c r="C19" s="15">
        <f t="shared" si="2"/>
        <v>32063.432000000001</v>
      </c>
      <c r="D19" s="20" t="str">
        <f t="shared" si="3"/>
        <v>vis</v>
      </c>
      <c r="E19" s="54">
        <f>VLOOKUP(C19,Active!C$21:E$972,3,FALSE)</f>
        <v>7366.9785209592856</v>
      </c>
      <c r="F19" s="6" t="s">
        <v>68</v>
      </c>
      <c r="G19" s="20" t="str">
        <f t="shared" si="4"/>
        <v>32063.432</v>
      </c>
      <c r="H19" s="15">
        <f t="shared" si="5"/>
        <v>7367.5</v>
      </c>
      <c r="I19" s="55" t="s">
        <v>93</v>
      </c>
      <c r="J19" s="56" t="s">
        <v>94</v>
      </c>
      <c r="K19" s="55">
        <v>7367.5</v>
      </c>
      <c r="L19" s="55" t="s">
        <v>89</v>
      </c>
      <c r="M19" s="56" t="s">
        <v>72</v>
      </c>
      <c r="N19" s="56"/>
      <c r="O19" s="57" t="s">
        <v>73</v>
      </c>
      <c r="P19" s="57" t="s">
        <v>74</v>
      </c>
    </row>
    <row r="20" spans="1:16" ht="12.75" customHeight="1" thickBot="1">
      <c r="A20" s="15" t="str">
        <f t="shared" si="0"/>
        <v> MVS 573 </v>
      </c>
      <c r="B20" s="6" t="str">
        <f t="shared" si="1"/>
        <v>II</v>
      </c>
      <c r="C20" s="15">
        <f t="shared" si="2"/>
        <v>33537.343999999997</v>
      </c>
      <c r="D20" s="20" t="str">
        <f t="shared" si="3"/>
        <v>vis</v>
      </c>
      <c r="E20" s="54">
        <f>VLOOKUP(C20,Active!C$21:E$972,3,FALSE)</f>
        <v>9003.0197529918623</v>
      </c>
      <c r="F20" s="6" t="s">
        <v>68</v>
      </c>
      <c r="G20" s="20" t="str">
        <f t="shared" si="4"/>
        <v>33537.344</v>
      </c>
      <c r="H20" s="15">
        <f t="shared" si="5"/>
        <v>9003.5</v>
      </c>
      <c r="I20" s="55" t="s">
        <v>95</v>
      </c>
      <c r="J20" s="56" t="s">
        <v>96</v>
      </c>
      <c r="K20" s="55">
        <v>9003.5</v>
      </c>
      <c r="L20" s="55" t="s">
        <v>97</v>
      </c>
      <c r="M20" s="56" t="s">
        <v>72</v>
      </c>
      <c r="N20" s="56"/>
      <c r="O20" s="57" t="s">
        <v>73</v>
      </c>
      <c r="P20" s="57" t="s">
        <v>74</v>
      </c>
    </row>
    <row r="21" spans="1:16" ht="12.75" customHeight="1" thickBot="1">
      <c r="A21" s="15" t="str">
        <f t="shared" si="0"/>
        <v> MVS 573 </v>
      </c>
      <c r="B21" s="6" t="str">
        <f t="shared" si="1"/>
        <v>II</v>
      </c>
      <c r="C21" s="15">
        <f t="shared" si="2"/>
        <v>33891.347000000002</v>
      </c>
      <c r="D21" s="20" t="str">
        <f t="shared" si="3"/>
        <v>vis</v>
      </c>
      <c r="E21" s="54">
        <f>VLOOKUP(C21,Active!C$21:E$972,3,FALSE)</f>
        <v>9395.9628216847268</v>
      </c>
      <c r="F21" s="6" t="s">
        <v>68</v>
      </c>
      <c r="G21" s="20" t="str">
        <f t="shared" si="4"/>
        <v>33891.347</v>
      </c>
      <c r="H21" s="15">
        <f t="shared" si="5"/>
        <v>9396.5</v>
      </c>
      <c r="I21" s="55" t="s">
        <v>98</v>
      </c>
      <c r="J21" s="56" t="s">
        <v>99</v>
      </c>
      <c r="K21" s="55">
        <v>9396.5</v>
      </c>
      <c r="L21" s="55" t="s">
        <v>100</v>
      </c>
      <c r="M21" s="56" t="s">
        <v>72</v>
      </c>
      <c r="N21" s="56"/>
      <c r="O21" s="57" t="s">
        <v>73</v>
      </c>
      <c r="P21" s="57" t="s">
        <v>74</v>
      </c>
    </row>
    <row r="22" spans="1:16" ht="12.75" customHeight="1" thickBot="1">
      <c r="A22" s="15" t="str">
        <f t="shared" si="0"/>
        <v> MVS 573 </v>
      </c>
      <c r="B22" s="6" t="str">
        <f t="shared" si="1"/>
        <v>II</v>
      </c>
      <c r="C22" s="15">
        <f t="shared" si="2"/>
        <v>34452.642</v>
      </c>
      <c r="D22" s="20" t="str">
        <f t="shared" si="3"/>
        <v>vis</v>
      </c>
      <c r="E22" s="54">
        <f>VLOOKUP(C22,Active!C$21:E$972,3,FALSE)</f>
        <v>10018.999857365096</v>
      </c>
      <c r="F22" s="6" t="s">
        <v>68</v>
      </c>
      <c r="G22" s="20" t="str">
        <f t="shared" si="4"/>
        <v>34452.642</v>
      </c>
      <c r="H22" s="15">
        <f t="shared" si="5"/>
        <v>10019.5</v>
      </c>
      <c r="I22" s="55" t="s">
        <v>101</v>
      </c>
      <c r="J22" s="56" t="s">
        <v>102</v>
      </c>
      <c r="K22" s="55">
        <v>10019.5</v>
      </c>
      <c r="L22" s="55" t="s">
        <v>103</v>
      </c>
      <c r="M22" s="56" t="s">
        <v>72</v>
      </c>
      <c r="N22" s="56"/>
      <c r="O22" s="57" t="s">
        <v>73</v>
      </c>
      <c r="P22" s="57" t="s">
        <v>74</v>
      </c>
    </row>
    <row r="23" spans="1:16" ht="12.75" customHeight="1" thickBot="1">
      <c r="A23" s="15" t="str">
        <f t="shared" si="0"/>
        <v> MVS 573 </v>
      </c>
      <c r="B23" s="6" t="str">
        <f t="shared" si="1"/>
        <v>II</v>
      </c>
      <c r="C23" s="15">
        <f t="shared" si="2"/>
        <v>34480.548000000003</v>
      </c>
      <c r="D23" s="20" t="str">
        <f t="shared" si="3"/>
        <v>vis</v>
      </c>
      <c r="E23" s="54">
        <f>VLOOKUP(C23,Active!C$21:E$972,3,FALSE)</f>
        <v>10049.975496766299</v>
      </c>
      <c r="F23" s="6" t="s">
        <v>68</v>
      </c>
      <c r="G23" s="20" t="str">
        <f t="shared" si="4"/>
        <v>34480.548</v>
      </c>
      <c r="H23" s="15">
        <f t="shared" si="5"/>
        <v>10050.5</v>
      </c>
      <c r="I23" s="55" t="s">
        <v>104</v>
      </c>
      <c r="J23" s="56" t="s">
        <v>105</v>
      </c>
      <c r="K23" s="55">
        <v>10050.5</v>
      </c>
      <c r="L23" s="55" t="s">
        <v>106</v>
      </c>
      <c r="M23" s="56" t="s">
        <v>72</v>
      </c>
      <c r="N23" s="56"/>
      <c r="O23" s="57" t="s">
        <v>73</v>
      </c>
      <c r="P23" s="57" t="s">
        <v>74</v>
      </c>
    </row>
    <row r="24" spans="1:16" ht="12.75" customHeight="1" thickBot="1">
      <c r="A24" s="15" t="str">
        <f t="shared" si="0"/>
        <v> MVS 573 </v>
      </c>
      <c r="B24" s="6" t="str">
        <f t="shared" si="1"/>
        <v>II</v>
      </c>
      <c r="C24" s="15">
        <f t="shared" si="2"/>
        <v>34899.491999999998</v>
      </c>
      <c r="D24" s="20" t="str">
        <f t="shared" si="3"/>
        <v>vis</v>
      </c>
      <c r="E24" s="54">
        <f>VLOOKUP(C24,Active!C$21:E$972,3,FALSE)</f>
        <v>10515.003027522986</v>
      </c>
      <c r="F24" s="6" t="s">
        <v>68</v>
      </c>
      <c r="G24" s="20" t="str">
        <f t="shared" si="4"/>
        <v>34899.492</v>
      </c>
      <c r="H24" s="15">
        <f t="shared" si="5"/>
        <v>10515.5</v>
      </c>
      <c r="I24" s="55" t="s">
        <v>107</v>
      </c>
      <c r="J24" s="56" t="s">
        <v>108</v>
      </c>
      <c r="K24" s="55">
        <v>10515.5</v>
      </c>
      <c r="L24" s="55" t="s">
        <v>109</v>
      </c>
      <c r="M24" s="56" t="s">
        <v>72</v>
      </c>
      <c r="N24" s="56"/>
      <c r="O24" s="57" t="s">
        <v>73</v>
      </c>
      <c r="P24" s="57" t="s">
        <v>74</v>
      </c>
    </row>
    <row r="25" spans="1:16" ht="12.75" customHeight="1" thickBot="1">
      <c r="A25" s="15" t="str">
        <f t="shared" si="0"/>
        <v> MVS 573 </v>
      </c>
      <c r="B25" s="6" t="str">
        <f t="shared" si="1"/>
        <v>II</v>
      </c>
      <c r="C25" s="15">
        <f t="shared" si="2"/>
        <v>34991.42</v>
      </c>
      <c r="D25" s="20" t="str">
        <f t="shared" si="3"/>
        <v>vis</v>
      </c>
      <c r="E25" s="54">
        <f>VLOOKUP(C25,Active!C$21:E$972,3,FALSE)</f>
        <v>10617.043039666378</v>
      </c>
      <c r="F25" s="6" t="s">
        <v>68</v>
      </c>
      <c r="G25" s="20" t="str">
        <f t="shared" si="4"/>
        <v>34991.42</v>
      </c>
      <c r="H25" s="15">
        <f t="shared" si="5"/>
        <v>10617.5</v>
      </c>
      <c r="I25" s="55" t="s">
        <v>110</v>
      </c>
      <c r="J25" s="56" t="s">
        <v>111</v>
      </c>
      <c r="K25" s="55">
        <v>10617.5</v>
      </c>
      <c r="L25" s="55" t="s">
        <v>112</v>
      </c>
      <c r="M25" s="56" t="s">
        <v>72</v>
      </c>
      <c r="N25" s="56"/>
      <c r="O25" s="57" t="s">
        <v>73</v>
      </c>
      <c r="P25" s="57" t="s">
        <v>74</v>
      </c>
    </row>
    <row r="26" spans="1:16" ht="12.75" customHeight="1" thickBot="1">
      <c r="A26" s="15" t="str">
        <f t="shared" si="0"/>
        <v> MVS 573 </v>
      </c>
      <c r="B26" s="6" t="str">
        <f t="shared" si="1"/>
        <v>II</v>
      </c>
      <c r="C26" s="15">
        <f t="shared" si="2"/>
        <v>36307.553</v>
      </c>
      <c r="D26" s="20" t="str">
        <f t="shared" si="3"/>
        <v>vis</v>
      </c>
      <c r="E26" s="54">
        <f>VLOOKUP(C26,Active!C$21:E$972,3,FALSE)</f>
        <v>12077.949698163453</v>
      </c>
      <c r="F26" s="6" t="s">
        <v>68</v>
      </c>
      <c r="G26" s="20" t="str">
        <f t="shared" si="4"/>
        <v>36307.553</v>
      </c>
      <c r="H26" s="15">
        <f t="shared" si="5"/>
        <v>12078.5</v>
      </c>
      <c r="I26" s="55" t="s">
        <v>113</v>
      </c>
      <c r="J26" s="56" t="s">
        <v>114</v>
      </c>
      <c r="K26" s="55">
        <v>12078.5</v>
      </c>
      <c r="L26" s="55" t="s">
        <v>115</v>
      </c>
      <c r="M26" s="56" t="s">
        <v>72</v>
      </c>
      <c r="N26" s="56"/>
      <c r="O26" s="57" t="s">
        <v>73</v>
      </c>
      <c r="P26" s="57" t="s">
        <v>74</v>
      </c>
    </row>
    <row r="27" spans="1:16" ht="12.75" customHeight="1" thickBot="1">
      <c r="A27" s="15" t="str">
        <f t="shared" si="0"/>
        <v> MVS 573 </v>
      </c>
      <c r="B27" s="6" t="str">
        <f t="shared" si="1"/>
        <v>II</v>
      </c>
      <c r="C27" s="15">
        <f t="shared" si="2"/>
        <v>37081.521999999997</v>
      </c>
      <c r="D27" s="20" t="str">
        <f t="shared" si="3"/>
        <v>vis</v>
      </c>
      <c r="E27" s="54">
        <f>VLOOKUP(C27,Active!C$21:E$972,3,FALSE)</f>
        <v>12937.054716858611</v>
      </c>
      <c r="F27" s="6" t="s">
        <v>68</v>
      </c>
      <c r="G27" s="20" t="str">
        <f t="shared" si="4"/>
        <v>37081.522</v>
      </c>
      <c r="H27" s="15">
        <f t="shared" si="5"/>
        <v>12937.5</v>
      </c>
      <c r="I27" s="55" t="s">
        <v>116</v>
      </c>
      <c r="J27" s="56" t="s">
        <v>117</v>
      </c>
      <c r="K27" s="55">
        <v>12937.5</v>
      </c>
      <c r="L27" s="55" t="s">
        <v>118</v>
      </c>
      <c r="M27" s="56" t="s">
        <v>72</v>
      </c>
      <c r="N27" s="56"/>
      <c r="O27" s="57" t="s">
        <v>73</v>
      </c>
      <c r="P27" s="57" t="s">
        <v>74</v>
      </c>
    </row>
    <row r="28" spans="1:16" ht="12.75" customHeight="1" thickBot="1">
      <c r="A28" s="15" t="str">
        <f t="shared" si="0"/>
        <v>BAVM 173 </v>
      </c>
      <c r="B28" s="6" t="str">
        <f t="shared" si="1"/>
        <v>I</v>
      </c>
      <c r="C28" s="15">
        <f t="shared" si="2"/>
        <v>53227.395900000003</v>
      </c>
      <c r="D28" s="20" t="str">
        <f t="shared" si="3"/>
        <v>vis</v>
      </c>
      <c r="E28" s="54">
        <f>VLOOKUP(C28,Active!C$21:E$972,3,FALSE)</f>
        <v>30858.962827789725</v>
      </c>
      <c r="F28" s="6" t="s">
        <v>68</v>
      </c>
      <c r="G28" s="20" t="str">
        <f t="shared" si="4"/>
        <v>53227.3959</v>
      </c>
      <c r="H28" s="15">
        <f t="shared" si="5"/>
        <v>30860</v>
      </c>
      <c r="I28" s="55" t="s">
        <v>126</v>
      </c>
      <c r="J28" s="56" t="s">
        <v>127</v>
      </c>
      <c r="K28" s="55">
        <v>30860</v>
      </c>
      <c r="L28" s="55" t="s">
        <v>128</v>
      </c>
      <c r="M28" s="56" t="s">
        <v>122</v>
      </c>
      <c r="N28" s="56" t="s">
        <v>129</v>
      </c>
      <c r="O28" s="57" t="s">
        <v>130</v>
      </c>
      <c r="P28" s="58" t="s">
        <v>131</v>
      </c>
    </row>
    <row r="29" spans="1:16" ht="12.75" customHeight="1" thickBot="1">
      <c r="A29" s="15" t="str">
        <f t="shared" si="0"/>
        <v>BAVM 173 </v>
      </c>
      <c r="B29" s="6" t="str">
        <f t="shared" si="1"/>
        <v>II</v>
      </c>
      <c r="C29" s="15">
        <f t="shared" si="2"/>
        <v>53258.489500000003</v>
      </c>
      <c r="D29" s="20" t="str">
        <f t="shared" si="3"/>
        <v>vis</v>
      </c>
      <c r="E29" s="54">
        <f>VLOOKUP(C29,Active!C$21:E$972,3,FALSE)</f>
        <v>30893.476700838</v>
      </c>
      <c r="F29" s="6" t="s">
        <v>68</v>
      </c>
      <c r="G29" s="20" t="str">
        <f t="shared" si="4"/>
        <v>53258.4895</v>
      </c>
      <c r="H29" s="15">
        <f t="shared" si="5"/>
        <v>30894.5</v>
      </c>
      <c r="I29" s="55" t="s">
        <v>132</v>
      </c>
      <c r="J29" s="56" t="s">
        <v>133</v>
      </c>
      <c r="K29" s="55" t="s">
        <v>134</v>
      </c>
      <c r="L29" s="55" t="s">
        <v>135</v>
      </c>
      <c r="M29" s="56" t="s">
        <v>122</v>
      </c>
      <c r="N29" s="56" t="s">
        <v>136</v>
      </c>
      <c r="O29" s="57" t="s">
        <v>130</v>
      </c>
      <c r="P29" s="58" t="s">
        <v>131</v>
      </c>
    </row>
    <row r="30" spans="1:16" ht="12.75" customHeight="1" thickBot="1">
      <c r="A30" s="15" t="str">
        <f t="shared" si="0"/>
        <v>IBVS 5672 </v>
      </c>
      <c r="B30" s="6" t="str">
        <f t="shared" si="1"/>
        <v>II</v>
      </c>
      <c r="C30" s="15">
        <f t="shared" si="2"/>
        <v>53711.641000000003</v>
      </c>
      <c r="D30" s="20" t="str">
        <f t="shared" si="3"/>
        <v>vis</v>
      </c>
      <c r="E30" s="54" t="e">
        <f>VLOOKUP(C30,Active!C$21:E$972,3,FALSE)</f>
        <v>#N/A</v>
      </c>
      <c r="F30" s="6" t="s">
        <v>68</v>
      </c>
      <c r="G30" s="20" t="str">
        <f t="shared" si="4"/>
        <v>53711.641</v>
      </c>
      <c r="H30" s="15">
        <f t="shared" si="5"/>
        <v>31397.5</v>
      </c>
      <c r="I30" s="55" t="s">
        <v>137</v>
      </c>
      <c r="J30" s="56" t="s">
        <v>138</v>
      </c>
      <c r="K30" s="55" t="s">
        <v>139</v>
      </c>
      <c r="L30" s="55" t="s">
        <v>140</v>
      </c>
      <c r="M30" s="56" t="s">
        <v>122</v>
      </c>
      <c r="N30" s="56" t="s">
        <v>123</v>
      </c>
      <c r="O30" s="57" t="s">
        <v>141</v>
      </c>
      <c r="P30" s="58" t="s">
        <v>142</v>
      </c>
    </row>
    <row r="31" spans="1:16" ht="12.75" customHeight="1" thickBot="1">
      <c r="A31" s="15" t="str">
        <f t="shared" si="0"/>
        <v>IBVS 5760 </v>
      </c>
      <c r="B31" s="6" t="str">
        <f t="shared" si="1"/>
        <v>I</v>
      </c>
      <c r="C31" s="15">
        <f t="shared" si="2"/>
        <v>53821.998899999999</v>
      </c>
      <c r="D31" s="20" t="str">
        <f t="shared" si="3"/>
        <v>vis</v>
      </c>
      <c r="E31" s="54">
        <f>VLOOKUP(C31,Active!C$21:E$972,3,FALSE)</f>
        <v>31518.971718883808</v>
      </c>
      <c r="F31" s="6" t="s">
        <v>68</v>
      </c>
      <c r="G31" s="20" t="str">
        <f t="shared" si="4"/>
        <v>53821.9989</v>
      </c>
      <c r="H31" s="15">
        <f t="shared" si="5"/>
        <v>31520</v>
      </c>
      <c r="I31" s="55" t="s">
        <v>143</v>
      </c>
      <c r="J31" s="56" t="s">
        <v>144</v>
      </c>
      <c r="K31" s="55" t="s">
        <v>145</v>
      </c>
      <c r="L31" s="55" t="s">
        <v>146</v>
      </c>
      <c r="M31" s="56" t="s">
        <v>147</v>
      </c>
      <c r="N31" s="56" t="s">
        <v>148</v>
      </c>
      <c r="O31" s="57" t="s">
        <v>141</v>
      </c>
      <c r="P31" s="58" t="s">
        <v>149</v>
      </c>
    </row>
    <row r="32" spans="1:16" ht="12.75" customHeight="1" thickBot="1">
      <c r="A32" s="15" t="str">
        <f t="shared" si="0"/>
        <v>BAVM 186 </v>
      </c>
      <c r="B32" s="6" t="str">
        <f t="shared" si="1"/>
        <v>I</v>
      </c>
      <c r="C32" s="15">
        <f t="shared" si="2"/>
        <v>54019.294000000002</v>
      </c>
      <c r="D32" s="20" t="str">
        <f t="shared" si="3"/>
        <v>vis</v>
      </c>
      <c r="E32" s="54">
        <f>VLOOKUP(C32,Active!C$21:E$972,3,FALSE)</f>
        <v>31737.969134250528</v>
      </c>
      <c r="F32" s="6" t="s">
        <v>68</v>
      </c>
      <c r="G32" s="20" t="str">
        <f t="shared" si="4"/>
        <v>54019.2940</v>
      </c>
      <c r="H32" s="15">
        <f t="shared" si="5"/>
        <v>31739</v>
      </c>
      <c r="I32" s="55" t="s">
        <v>150</v>
      </c>
      <c r="J32" s="56" t="s">
        <v>151</v>
      </c>
      <c r="K32" s="55" t="s">
        <v>152</v>
      </c>
      <c r="L32" s="55" t="s">
        <v>153</v>
      </c>
      <c r="M32" s="56" t="s">
        <v>147</v>
      </c>
      <c r="N32" s="56" t="s">
        <v>129</v>
      </c>
      <c r="O32" s="57" t="s">
        <v>154</v>
      </c>
      <c r="P32" s="58" t="s">
        <v>155</v>
      </c>
    </row>
    <row r="33" spans="1:16" ht="12.75" customHeight="1" thickBot="1">
      <c r="A33" s="15" t="str">
        <f t="shared" si="0"/>
        <v>BAVM 209 </v>
      </c>
      <c r="B33" s="6" t="str">
        <f t="shared" si="1"/>
        <v>I</v>
      </c>
      <c r="C33" s="15">
        <f t="shared" si="2"/>
        <v>54981.471799999999</v>
      </c>
      <c r="D33" s="20" t="str">
        <f t="shared" si="3"/>
        <v>vis</v>
      </c>
      <c r="E33" s="54">
        <f>VLOOKUP(C33,Active!C$21:E$972,3,FALSE)</f>
        <v>32805.985782019452</v>
      </c>
      <c r="F33" s="6" t="s">
        <v>68</v>
      </c>
      <c r="G33" s="20" t="str">
        <f t="shared" si="4"/>
        <v>54981.4718</v>
      </c>
      <c r="H33" s="15">
        <f t="shared" si="5"/>
        <v>32807</v>
      </c>
      <c r="I33" s="55" t="s">
        <v>156</v>
      </c>
      <c r="J33" s="56" t="s">
        <v>157</v>
      </c>
      <c r="K33" s="55" t="s">
        <v>158</v>
      </c>
      <c r="L33" s="55" t="s">
        <v>159</v>
      </c>
      <c r="M33" s="56" t="s">
        <v>147</v>
      </c>
      <c r="N33" s="56" t="s">
        <v>136</v>
      </c>
      <c r="O33" s="57" t="s">
        <v>160</v>
      </c>
      <c r="P33" s="58" t="s">
        <v>161</v>
      </c>
    </row>
    <row r="34" spans="1:16" ht="12.75" customHeight="1" thickBot="1">
      <c r="A34" s="15" t="str">
        <f t="shared" si="0"/>
        <v>IBVS 5929 </v>
      </c>
      <c r="B34" s="6" t="str">
        <f t="shared" si="1"/>
        <v>I</v>
      </c>
      <c r="C34" s="15">
        <f t="shared" si="2"/>
        <v>55115.706400000003</v>
      </c>
      <c r="D34" s="20" t="str">
        <f t="shared" si="3"/>
        <v>vis</v>
      </c>
      <c r="E34" s="54">
        <f>VLOOKUP(C34,Active!C$21:E$972,3,FALSE)</f>
        <v>32954.986088934253</v>
      </c>
      <c r="F34" s="6" t="s">
        <v>68</v>
      </c>
      <c r="G34" s="20" t="str">
        <f t="shared" si="4"/>
        <v>55115.7064</v>
      </c>
      <c r="H34" s="15">
        <f t="shared" si="5"/>
        <v>32956</v>
      </c>
      <c r="I34" s="55" t="s">
        <v>162</v>
      </c>
      <c r="J34" s="56" t="s">
        <v>163</v>
      </c>
      <c r="K34" s="55" t="s">
        <v>164</v>
      </c>
      <c r="L34" s="55" t="s">
        <v>165</v>
      </c>
      <c r="M34" s="56" t="s">
        <v>147</v>
      </c>
      <c r="N34" s="56" t="s">
        <v>63</v>
      </c>
      <c r="O34" s="57" t="s">
        <v>166</v>
      </c>
      <c r="P34" s="58" t="s">
        <v>167</v>
      </c>
    </row>
    <row r="35" spans="1:16" ht="12.75" customHeight="1" thickBot="1">
      <c r="A35" s="15" t="str">
        <f t="shared" si="0"/>
        <v>BAVM 214 </v>
      </c>
      <c r="B35" s="6" t="str">
        <f t="shared" si="1"/>
        <v>I</v>
      </c>
      <c r="C35" s="15">
        <f t="shared" si="2"/>
        <v>55382.390700000004</v>
      </c>
      <c r="D35" s="20" t="str">
        <f t="shared" si="3"/>
        <v>vis</v>
      </c>
      <c r="E35" s="54">
        <f>VLOOKUP(C35,Active!C$21:E$972,3,FALSE)</f>
        <v>33251.005465081369</v>
      </c>
      <c r="F35" s="6" t="s">
        <v>68</v>
      </c>
      <c r="G35" s="20" t="str">
        <f t="shared" si="4"/>
        <v>55382.3907</v>
      </c>
      <c r="H35" s="15">
        <f t="shared" si="5"/>
        <v>33252</v>
      </c>
      <c r="I35" s="55" t="s">
        <v>168</v>
      </c>
      <c r="J35" s="56" t="s">
        <v>169</v>
      </c>
      <c r="K35" s="55" t="s">
        <v>170</v>
      </c>
      <c r="L35" s="55" t="s">
        <v>171</v>
      </c>
      <c r="M35" s="56" t="s">
        <v>147</v>
      </c>
      <c r="N35" s="56" t="s">
        <v>136</v>
      </c>
      <c r="O35" s="57" t="s">
        <v>172</v>
      </c>
      <c r="P35" s="58" t="s">
        <v>173</v>
      </c>
    </row>
    <row r="36" spans="1:16" ht="12.75" customHeight="1" thickBot="1">
      <c r="A36" s="15" t="str">
        <f t="shared" si="0"/>
        <v>BAVM 225 </v>
      </c>
      <c r="B36" s="6" t="str">
        <f t="shared" si="1"/>
        <v>I</v>
      </c>
      <c r="C36" s="15">
        <f t="shared" si="2"/>
        <v>55799.495600000002</v>
      </c>
      <c r="D36" s="20" t="str">
        <f t="shared" si="3"/>
        <v>vis</v>
      </c>
      <c r="E36" s="54">
        <f>VLOOKUP(C36,Active!C$21:E$972,3,FALSE)</f>
        <v>33713.991596195592</v>
      </c>
      <c r="F36" s="6" t="s">
        <v>68</v>
      </c>
      <c r="G36" s="20" t="str">
        <f t="shared" si="4"/>
        <v>55799.4956</v>
      </c>
      <c r="H36" s="15">
        <f t="shared" si="5"/>
        <v>33715</v>
      </c>
      <c r="I36" s="55" t="s">
        <v>174</v>
      </c>
      <c r="J36" s="56" t="s">
        <v>175</v>
      </c>
      <c r="K36" s="55" t="s">
        <v>176</v>
      </c>
      <c r="L36" s="55" t="s">
        <v>177</v>
      </c>
      <c r="M36" s="56" t="s">
        <v>147</v>
      </c>
      <c r="N36" s="56" t="s">
        <v>129</v>
      </c>
      <c r="O36" s="57" t="s">
        <v>130</v>
      </c>
      <c r="P36" s="58" t="s">
        <v>178</v>
      </c>
    </row>
    <row r="37" spans="1:16" ht="12.75" customHeight="1" thickBot="1">
      <c r="A37" s="15" t="str">
        <f t="shared" si="0"/>
        <v>BAVM 232 </v>
      </c>
      <c r="B37" s="6" t="str">
        <f t="shared" si="1"/>
        <v>II</v>
      </c>
      <c r="C37" s="15">
        <f t="shared" si="2"/>
        <v>55832.391799999998</v>
      </c>
      <c r="D37" s="20" t="str">
        <f t="shared" si="3"/>
        <v>vis</v>
      </c>
      <c r="E37" s="54">
        <f>VLOOKUP(C37,Active!C$21:E$972,3,FALSE)</f>
        <v>33750.506353913275</v>
      </c>
      <c r="F37" s="6" t="s">
        <v>68</v>
      </c>
      <c r="G37" s="20" t="str">
        <f t="shared" si="4"/>
        <v>55832.3918</v>
      </c>
      <c r="H37" s="15">
        <f t="shared" si="5"/>
        <v>33751.5</v>
      </c>
      <c r="I37" s="55" t="s">
        <v>179</v>
      </c>
      <c r="J37" s="56" t="s">
        <v>180</v>
      </c>
      <c r="K37" s="55" t="s">
        <v>181</v>
      </c>
      <c r="L37" s="55" t="s">
        <v>182</v>
      </c>
      <c r="M37" s="56" t="s">
        <v>147</v>
      </c>
      <c r="N37" s="56" t="s">
        <v>136</v>
      </c>
      <c r="O37" s="57" t="s">
        <v>183</v>
      </c>
      <c r="P37" s="58" t="s">
        <v>184</v>
      </c>
    </row>
    <row r="38" spans="1:16" ht="12.75" customHeight="1" thickBot="1">
      <c r="A38" s="15" t="str">
        <f t="shared" si="0"/>
        <v>BAVM 228 </v>
      </c>
      <c r="B38" s="6" t="str">
        <f t="shared" si="1"/>
        <v>I</v>
      </c>
      <c r="C38" s="15">
        <f t="shared" si="2"/>
        <v>55836.436399999999</v>
      </c>
      <c r="D38" s="20" t="str">
        <f t="shared" si="3"/>
        <v>vis</v>
      </c>
      <c r="E38" s="54">
        <f>VLOOKUP(C38,Active!C$21:E$972,3,FALSE)</f>
        <v>33754.995856927751</v>
      </c>
      <c r="F38" s="6" t="s">
        <v>68</v>
      </c>
      <c r="G38" s="20" t="str">
        <f t="shared" si="4"/>
        <v>55836.4364</v>
      </c>
      <c r="H38" s="15">
        <f t="shared" si="5"/>
        <v>33756</v>
      </c>
      <c r="I38" s="55" t="s">
        <v>185</v>
      </c>
      <c r="J38" s="56" t="s">
        <v>186</v>
      </c>
      <c r="K38" s="55" t="s">
        <v>187</v>
      </c>
      <c r="L38" s="55" t="s">
        <v>188</v>
      </c>
      <c r="M38" s="56" t="s">
        <v>147</v>
      </c>
      <c r="N38" s="56" t="s">
        <v>136</v>
      </c>
      <c r="O38" s="57" t="s">
        <v>183</v>
      </c>
      <c r="P38" s="58" t="s">
        <v>189</v>
      </c>
    </row>
    <row r="39" spans="1:16" ht="12.75" customHeight="1" thickBot="1">
      <c r="A39" s="15" t="str">
        <f t="shared" si="0"/>
        <v>BAVM 238 </v>
      </c>
      <c r="B39" s="6" t="str">
        <f t="shared" si="1"/>
        <v>II</v>
      </c>
      <c r="C39" s="15">
        <f t="shared" si="2"/>
        <v>56157.491600000001</v>
      </c>
      <c r="D39" s="20" t="str">
        <f t="shared" si="3"/>
        <v>vis</v>
      </c>
      <c r="E39" s="54">
        <f>VLOOKUP(C39,Active!C$21:E$972,3,FALSE)</f>
        <v>34111.366891941019</v>
      </c>
      <c r="F39" s="6" t="s">
        <v>68</v>
      </c>
      <c r="G39" s="20" t="str">
        <f t="shared" si="4"/>
        <v>56157.4916</v>
      </c>
      <c r="H39" s="15">
        <f t="shared" si="5"/>
        <v>34112.5</v>
      </c>
      <c r="I39" s="55" t="s">
        <v>190</v>
      </c>
      <c r="J39" s="56" t="s">
        <v>191</v>
      </c>
      <c r="K39" s="55" t="s">
        <v>192</v>
      </c>
      <c r="L39" s="55" t="s">
        <v>193</v>
      </c>
      <c r="M39" s="56" t="s">
        <v>147</v>
      </c>
      <c r="N39" s="56" t="s">
        <v>68</v>
      </c>
      <c r="O39" s="57" t="s">
        <v>183</v>
      </c>
      <c r="P39" s="58" t="s">
        <v>194</v>
      </c>
    </row>
    <row r="40" spans="1:16" ht="12.75" customHeight="1" thickBot="1">
      <c r="A40" s="15" t="str">
        <f t="shared" si="0"/>
        <v>BAVM 232 </v>
      </c>
      <c r="B40" s="6" t="str">
        <f t="shared" si="1"/>
        <v>I</v>
      </c>
      <c r="C40" s="15">
        <f t="shared" si="2"/>
        <v>56490.501199999999</v>
      </c>
      <c r="D40" s="20" t="str">
        <f t="shared" si="3"/>
        <v>vis</v>
      </c>
      <c r="E40" s="54">
        <f>VLOOKUP(C40,Active!C$21:E$972,3,FALSE)</f>
        <v>34481.007302130143</v>
      </c>
      <c r="F40" s="6" t="s">
        <v>68</v>
      </c>
      <c r="G40" s="20" t="str">
        <f t="shared" si="4"/>
        <v>56490.5012</v>
      </c>
      <c r="H40" s="15">
        <f t="shared" si="5"/>
        <v>34482</v>
      </c>
      <c r="I40" s="55" t="s">
        <v>195</v>
      </c>
      <c r="J40" s="56" t="s">
        <v>196</v>
      </c>
      <c r="K40" s="55" t="s">
        <v>197</v>
      </c>
      <c r="L40" s="55" t="s">
        <v>198</v>
      </c>
      <c r="M40" s="56" t="s">
        <v>147</v>
      </c>
      <c r="N40" s="56" t="s">
        <v>136</v>
      </c>
      <c r="O40" s="57" t="s">
        <v>172</v>
      </c>
      <c r="P40" s="58" t="s">
        <v>184</v>
      </c>
    </row>
    <row r="41" spans="1:16">
      <c r="B41" s="6"/>
      <c r="E41" s="54"/>
      <c r="F41" s="6"/>
    </row>
    <row r="42" spans="1:16">
      <c r="B42" s="6"/>
      <c r="E42" s="54"/>
      <c r="F42" s="6"/>
    </row>
    <row r="43" spans="1:16">
      <c r="B43" s="6"/>
      <c r="E43" s="54"/>
      <c r="F43" s="6"/>
    </row>
    <row r="44" spans="1:16">
      <c r="B44" s="6"/>
      <c r="E44" s="54"/>
      <c r="F44" s="6"/>
    </row>
    <row r="45" spans="1:16">
      <c r="B45" s="6"/>
      <c r="E45" s="54"/>
      <c r="F45" s="6"/>
    </row>
    <row r="46" spans="1:16">
      <c r="B46" s="6"/>
      <c r="E46" s="54"/>
      <c r="F46" s="6"/>
    </row>
    <row r="47" spans="1:16">
      <c r="B47" s="6"/>
      <c r="E47" s="54"/>
      <c r="F47" s="6"/>
    </row>
    <row r="48" spans="1:16">
      <c r="B48" s="6"/>
      <c r="E48" s="54"/>
      <c r="F48" s="6"/>
    </row>
    <row r="49" spans="2:6">
      <c r="B49" s="6"/>
      <c r="E49" s="54"/>
      <c r="F49" s="6"/>
    </row>
    <row r="50" spans="2:6">
      <c r="B50" s="6"/>
      <c r="E50" s="54"/>
      <c r="F50" s="6"/>
    </row>
    <row r="51" spans="2:6">
      <c r="B51" s="6"/>
      <c r="E51" s="54"/>
      <c r="F51" s="6"/>
    </row>
    <row r="52" spans="2:6">
      <c r="B52" s="6"/>
      <c r="E52" s="54"/>
      <c r="F52" s="6"/>
    </row>
    <row r="53" spans="2:6">
      <c r="B53" s="6"/>
      <c r="E53" s="54"/>
      <c r="F53" s="6"/>
    </row>
    <row r="54" spans="2:6">
      <c r="B54" s="6"/>
      <c r="E54" s="54"/>
      <c r="F54" s="6"/>
    </row>
    <row r="55" spans="2:6">
      <c r="B55" s="6"/>
      <c r="E55" s="54"/>
      <c r="F55" s="6"/>
    </row>
    <row r="56" spans="2:6">
      <c r="B56" s="6"/>
      <c r="E56" s="54"/>
      <c r="F56" s="6"/>
    </row>
    <row r="57" spans="2:6">
      <c r="B57" s="6"/>
      <c r="E57" s="54"/>
      <c r="F57" s="6"/>
    </row>
    <row r="58" spans="2:6">
      <c r="B58" s="6"/>
      <c r="E58" s="54"/>
      <c r="F58" s="6"/>
    </row>
    <row r="59" spans="2:6">
      <c r="B59" s="6"/>
      <c r="E59" s="54"/>
      <c r="F59" s="6"/>
    </row>
    <row r="60" spans="2:6">
      <c r="B60" s="6"/>
      <c r="E60" s="54"/>
      <c r="F60" s="6"/>
    </row>
    <row r="61" spans="2:6">
      <c r="B61" s="6"/>
      <c r="E61" s="54"/>
      <c r="F61" s="6"/>
    </row>
    <row r="62" spans="2:6">
      <c r="B62" s="6"/>
      <c r="E62" s="54"/>
      <c r="F62" s="6"/>
    </row>
    <row r="63" spans="2:6">
      <c r="B63" s="6"/>
      <c r="E63" s="54"/>
      <c r="F63" s="6"/>
    </row>
    <row r="64" spans="2:6">
      <c r="B64" s="6"/>
      <c r="E64" s="54"/>
      <c r="F64" s="6"/>
    </row>
    <row r="65" spans="2:6">
      <c r="B65" s="6"/>
      <c r="E65" s="54"/>
      <c r="F65" s="6"/>
    </row>
    <row r="66" spans="2:6">
      <c r="B66" s="6"/>
      <c r="E66" s="54"/>
      <c r="F66" s="6"/>
    </row>
    <row r="67" spans="2:6">
      <c r="B67" s="6"/>
      <c r="E67" s="54"/>
      <c r="F67" s="6"/>
    </row>
    <row r="68" spans="2:6">
      <c r="B68" s="6"/>
      <c r="E68" s="54"/>
      <c r="F68" s="6"/>
    </row>
    <row r="69" spans="2:6">
      <c r="B69" s="6"/>
      <c r="E69" s="54"/>
      <c r="F69" s="6"/>
    </row>
    <row r="70" spans="2:6">
      <c r="B70" s="6"/>
      <c r="E70" s="54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</sheetData>
  <phoneticPr fontId="7" type="noConversion"/>
  <hyperlinks>
    <hyperlink ref="P28" r:id="rId1" display="http://www.bav-astro.de/sfs/BAVM_link.php?BAVMnr=173"/>
    <hyperlink ref="P29" r:id="rId2" display="http://www.bav-astro.de/sfs/BAVM_link.php?BAVMnr=173"/>
    <hyperlink ref="P30" r:id="rId3" display="http://www.konkoly.hu/cgi-bin/IBVS?5672"/>
    <hyperlink ref="P31" r:id="rId4" display="http://www.konkoly.hu/cgi-bin/IBVS?5760"/>
    <hyperlink ref="P32" r:id="rId5" display="http://www.bav-astro.de/sfs/BAVM_link.php?BAVMnr=186"/>
    <hyperlink ref="P33" r:id="rId6" display="http://www.bav-astro.de/sfs/BAVM_link.php?BAVMnr=209"/>
    <hyperlink ref="P34" r:id="rId7" display="http://www.konkoly.hu/cgi-bin/IBVS?5929"/>
    <hyperlink ref="P35" r:id="rId8" display="http://www.bav-astro.de/sfs/BAVM_link.php?BAVMnr=214"/>
    <hyperlink ref="P36" r:id="rId9" display="http://www.bav-astro.de/sfs/BAVM_link.php?BAVMnr=225"/>
    <hyperlink ref="P37" r:id="rId10" display="http://www.bav-astro.de/sfs/BAVM_link.php?BAVMnr=232"/>
    <hyperlink ref="P38" r:id="rId11" display="http://www.bav-astro.de/sfs/BAVM_link.php?BAVMnr=228"/>
    <hyperlink ref="P39" r:id="rId12" display="http://www.bav-astro.de/sfs/BAVM_link.php?BAVMnr=238"/>
    <hyperlink ref="P40" r:id="rId13" display="http://www.bav-astro.de/sfs/BAVM_link.php?BAVMnr=232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activeCell="C36" sqref="C3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26</v>
      </c>
      <c r="B2" s="12" t="s">
        <v>35</v>
      </c>
    </row>
    <row r="4" spans="1:7">
      <c r="A4" s="8" t="s">
        <v>1</v>
      </c>
      <c r="C4" s="3">
        <v>25426.51</v>
      </c>
      <c r="D4" s="4">
        <v>0.90090150000000002</v>
      </c>
    </row>
    <row r="6" spans="1:7">
      <c r="A6" s="8" t="s">
        <v>2</v>
      </c>
    </row>
    <row r="7" spans="1:7">
      <c r="A7" t="s">
        <v>3</v>
      </c>
      <c r="C7">
        <f>+C4</f>
        <v>25426.51</v>
      </c>
    </row>
    <row r="8" spans="1:7">
      <c r="A8" t="s">
        <v>4</v>
      </c>
      <c r="C8">
        <v>0.900904870835875</v>
      </c>
    </row>
    <row r="9" spans="1:7">
      <c r="A9" s="19" t="s">
        <v>38</v>
      </c>
      <c r="B9" s="20"/>
      <c r="C9" s="21">
        <v>8</v>
      </c>
      <c r="D9" s="20" t="s">
        <v>39</v>
      </c>
      <c r="E9" s="20"/>
    </row>
    <row r="10" spans="1:7" ht="13.5" thickBot="1">
      <c r="A10" s="20"/>
      <c r="B10" s="20"/>
      <c r="C10" s="7" t="s">
        <v>21</v>
      </c>
      <c r="D10" s="7" t="s">
        <v>22</v>
      </c>
      <c r="E10" s="20"/>
    </row>
    <row r="11" spans="1:7">
      <c r="A11" s="20" t="s">
        <v>17</v>
      </c>
      <c r="B11" s="20"/>
      <c r="C11" s="34">
        <f ca="1">INTERCEPT(INDIRECT($G$11):G992,INDIRECT($F$11):F992)</f>
        <v>-0.27711153728953708</v>
      </c>
      <c r="D11" s="6"/>
      <c r="E11" s="20"/>
      <c r="F11" s="35" t="str">
        <f>"F"&amp;E19</f>
        <v>F22</v>
      </c>
      <c r="G11" s="36" t="str">
        <f>"G"&amp;E19</f>
        <v>G22</v>
      </c>
    </row>
    <row r="12" spans="1:7">
      <c r="A12" s="20" t="s">
        <v>18</v>
      </c>
      <c r="B12" s="20"/>
      <c r="C12" s="34">
        <f ca="1">SLOPE(INDIRECT($G$11):G992,INDIRECT($F$11):F992)</f>
        <v>4.7669100666620841E-6</v>
      </c>
      <c r="D12" s="6"/>
      <c r="E12" s="20"/>
    </row>
    <row r="13" spans="1:7">
      <c r="A13" s="20" t="s">
        <v>20</v>
      </c>
      <c r="B13" s="20"/>
      <c r="C13" s="6" t="s">
        <v>15</v>
      </c>
      <c r="D13" s="24" t="s">
        <v>53</v>
      </c>
      <c r="E13" s="21">
        <v>1</v>
      </c>
    </row>
    <row r="14" spans="1:7">
      <c r="A14" s="20"/>
      <c r="B14" s="20"/>
      <c r="C14" s="20"/>
      <c r="D14" s="24" t="s">
        <v>40</v>
      </c>
      <c r="E14" s="25">
        <f ca="1">NOW()+15018.5+$C$9/24</f>
        <v>60345.457498726857</v>
      </c>
    </row>
    <row r="15" spans="1:7">
      <c r="A15" s="22" t="s">
        <v>19</v>
      </c>
      <c r="B15" s="20"/>
      <c r="C15" s="23">
        <f ca="1">(C7+C11)+(C8+C12)*INT(MAX(F21:F3533))</f>
        <v>56490.498107580526</v>
      </c>
      <c r="D15" s="24" t="s">
        <v>54</v>
      </c>
      <c r="E15" s="25">
        <f ca="1">ROUND(2*(E14-$C$7)/$C$8,0)/2+E13</f>
        <v>38761</v>
      </c>
    </row>
    <row r="16" spans="1:7">
      <c r="A16" s="26" t="s">
        <v>5</v>
      </c>
      <c r="B16" s="20"/>
      <c r="C16" s="27">
        <f ca="1">+C8+C12</f>
        <v>0.90090963774594168</v>
      </c>
      <c r="D16" s="24" t="s">
        <v>41</v>
      </c>
      <c r="E16" s="36">
        <f ca="1">ROUND(2*(E14-$C$15)/$C$16,0)/2+E13</f>
        <v>4280</v>
      </c>
    </row>
    <row r="17" spans="1:31" ht="13.5" thickBot="1">
      <c r="A17" s="24" t="s">
        <v>42</v>
      </c>
      <c r="B17" s="20"/>
      <c r="C17" s="20">
        <f>COUNT(C21:C2191)</f>
        <v>12</v>
      </c>
      <c r="D17" s="24" t="s">
        <v>43</v>
      </c>
      <c r="E17" s="28">
        <f ca="1">+$C$15+$C$16*E16-15018.5-$C$9/24</f>
        <v>45327.558023799822</v>
      </c>
    </row>
    <row r="18" spans="1:31">
      <c r="A18" s="26" t="s">
        <v>6</v>
      </c>
      <c r="B18" s="20"/>
      <c r="C18" s="29">
        <f ca="1">+C15</f>
        <v>56490.498107580526</v>
      </c>
      <c r="D18" s="30">
        <f ca="1">+C16</f>
        <v>0.90090963774594168</v>
      </c>
      <c r="E18" s="31" t="s">
        <v>44</v>
      </c>
    </row>
    <row r="19" spans="1:31" ht="13.5" thickTop="1">
      <c r="A19" s="37" t="s">
        <v>47</v>
      </c>
      <c r="E19" s="38">
        <v>22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60</v>
      </c>
      <c r="M20" s="10" t="s">
        <v>61</v>
      </c>
      <c r="N20" s="10" t="s">
        <v>29</v>
      </c>
      <c r="O20" s="10" t="s">
        <v>24</v>
      </c>
      <c r="P20" s="9" t="s">
        <v>23</v>
      </c>
      <c r="Q20" s="7" t="s">
        <v>16</v>
      </c>
      <c r="R20" s="42" t="s">
        <v>52</v>
      </c>
    </row>
    <row r="21" spans="1:31">
      <c r="A21" t="s">
        <v>13</v>
      </c>
      <c r="C21" s="16">
        <v>25426.51</v>
      </c>
      <c r="D21" s="16" t="s">
        <v>15</v>
      </c>
      <c r="E21">
        <f t="shared" ref="E21:E32" si="0">+(C21-C$7)/C$8</f>
        <v>0</v>
      </c>
      <c r="F21">
        <f t="shared" ref="F21:F32" si="1">ROUND(2*E21,0)/2</f>
        <v>0</v>
      </c>
      <c r="H21">
        <v>0</v>
      </c>
      <c r="O21">
        <f t="shared" ref="O21:O32" ca="1" si="2">+C$11+C$12*F21</f>
        <v>-0.27711153728953708</v>
      </c>
      <c r="Q21" s="2">
        <f t="shared" ref="Q21:Q32" si="3">+C21-15018.5</f>
        <v>10408.009999999998</v>
      </c>
    </row>
    <row r="22" spans="1:31">
      <c r="A22" t="s">
        <v>32</v>
      </c>
      <c r="C22" s="16">
        <v>50944.51</v>
      </c>
      <c r="D22" s="16">
        <v>3.0000000000000001E-3</v>
      </c>
      <c r="E22">
        <f t="shared" si="0"/>
        <v>28324.855182905121</v>
      </c>
      <c r="F22">
        <f t="shared" si="1"/>
        <v>28325</v>
      </c>
      <c r="G22">
        <f>+C23-(C$7+F23*C$8)</f>
        <v>-0.13750912426621653</v>
      </c>
      <c r="I22">
        <f>G22</f>
        <v>-0.13750912426621653</v>
      </c>
      <c r="O22">
        <f t="shared" ca="1" si="2"/>
        <v>-0.14208880965133355</v>
      </c>
      <c r="Q22" s="2">
        <f t="shared" si="3"/>
        <v>35926.01</v>
      </c>
      <c r="R22" s="43"/>
      <c r="AA22">
        <v>12</v>
      </c>
      <c r="AC22" t="s">
        <v>31</v>
      </c>
      <c r="AE22" t="s">
        <v>33</v>
      </c>
    </row>
    <row r="23" spans="1:31">
      <c r="A23" s="13" t="s">
        <v>37</v>
      </c>
      <c r="B23" s="14"/>
      <c r="C23" s="16">
        <v>53227.395900000003</v>
      </c>
      <c r="D23" s="16">
        <v>4.4000000000000003E-3</v>
      </c>
      <c r="E23">
        <f t="shared" si="0"/>
        <v>30858.847365544672</v>
      </c>
      <c r="F23">
        <f t="shared" si="1"/>
        <v>30859</v>
      </c>
      <c r="O23">
        <f t="shared" ca="1" si="2"/>
        <v>-0.13000945954241183</v>
      </c>
      <c r="Q23" s="2">
        <f t="shared" si="3"/>
        <v>38208.895900000003</v>
      </c>
    </row>
    <row r="24" spans="1:31">
      <c r="A24" s="13" t="s">
        <v>37</v>
      </c>
      <c r="B24" s="14"/>
      <c r="C24" s="16">
        <v>53258.489500000003</v>
      </c>
      <c r="D24" s="16">
        <v>5.4999999999999997E-3</v>
      </c>
      <c r="E24">
        <f t="shared" si="0"/>
        <v>30893.361109455447</v>
      </c>
      <c r="F24">
        <f t="shared" si="1"/>
        <v>30893.5</v>
      </c>
      <c r="G24">
        <f t="shared" ref="G24:G30" si="4">+C24-(C$7+F24*C$8)</f>
        <v>-0.12512716810306301</v>
      </c>
      <c r="J24">
        <f>G24</f>
        <v>-0.12512716810306301</v>
      </c>
      <c r="O24">
        <f t="shared" ca="1" si="2"/>
        <v>-0.12984500114511199</v>
      </c>
      <c r="Q24" s="2">
        <f t="shared" si="3"/>
        <v>38239.989500000003</v>
      </c>
    </row>
    <row r="25" spans="1:31">
      <c r="A25" s="8" t="s">
        <v>34</v>
      </c>
      <c r="C25" s="16">
        <v>53711.640500000001</v>
      </c>
      <c r="D25" s="16">
        <v>1E-3</v>
      </c>
      <c r="E25">
        <f t="shared" si="0"/>
        <v>31396.356502941951</v>
      </c>
      <c r="F25">
        <f t="shared" si="1"/>
        <v>31396.5</v>
      </c>
      <c r="G25">
        <f t="shared" si="4"/>
        <v>-0.12927719854633324</v>
      </c>
      <c r="K25">
        <f>G25</f>
        <v>-0.12927719854633324</v>
      </c>
      <c r="O25">
        <f t="shared" ca="1" si="2"/>
        <v>-0.12744724538158095</v>
      </c>
      <c r="Q25" s="2">
        <f t="shared" si="3"/>
        <v>38693.140500000001</v>
      </c>
    </row>
    <row r="26" spans="1:31">
      <c r="A26" s="32" t="s">
        <v>45</v>
      </c>
      <c r="C26" s="16">
        <v>53821.998899999999</v>
      </c>
      <c r="D26" s="16">
        <v>1E-3</v>
      </c>
      <c r="E26">
        <f t="shared" si="0"/>
        <v>31518.853787142009</v>
      </c>
      <c r="F26">
        <f t="shared" si="1"/>
        <v>31519</v>
      </c>
      <c r="G26">
        <f t="shared" si="4"/>
        <v>-0.13172387594386237</v>
      </c>
      <c r="K26">
        <f>G26</f>
        <v>-0.13172387594386237</v>
      </c>
      <c r="O26">
        <f t="shared" ca="1" si="2"/>
        <v>-0.12686329889841486</v>
      </c>
      <c r="Q26" s="2">
        <f t="shared" si="3"/>
        <v>38803.498899999999</v>
      </c>
    </row>
    <row r="27" spans="1:31">
      <c r="A27" s="33" t="s">
        <v>46</v>
      </c>
      <c r="B27" s="14"/>
      <c r="C27" s="15">
        <v>54019.294000000002</v>
      </c>
      <c r="D27" s="15">
        <v>6.9999999999999999E-4</v>
      </c>
      <c r="E27">
        <f t="shared" si="0"/>
        <v>31737.850383105517</v>
      </c>
      <c r="F27">
        <f t="shared" si="1"/>
        <v>31738</v>
      </c>
      <c r="G27">
        <f t="shared" si="4"/>
        <v>-0.1347905889924732</v>
      </c>
      <c r="J27">
        <f t="shared" ref="J27:J32" si="5">G27</f>
        <v>-0.1347905889924732</v>
      </c>
      <c r="O27">
        <f t="shared" ca="1" si="2"/>
        <v>-0.12581934559381586</v>
      </c>
      <c r="Q27" s="2">
        <f t="shared" si="3"/>
        <v>39000.794000000002</v>
      </c>
    </row>
    <row r="28" spans="1:31">
      <c r="A28" s="8" t="s">
        <v>48</v>
      </c>
      <c r="C28" s="16">
        <v>55115.706400000003</v>
      </c>
      <c r="D28" s="16">
        <v>2.9999999999999997E-4</v>
      </c>
      <c r="E28">
        <f t="shared" si="0"/>
        <v>32954.862784184814</v>
      </c>
      <c r="F28">
        <f t="shared" si="1"/>
        <v>32955</v>
      </c>
      <c r="G28">
        <f t="shared" si="4"/>
        <v>-0.1236183962537325</v>
      </c>
      <c r="K28">
        <f>G28</f>
        <v>-0.1236183962537325</v>
      </c>
      <c r="O28">
        <f t="shared" ca="1" si="2"/>
        <v>-0.12001801604268811</v>
      </c>
      <c r="Q28" s="2">
        <f t="shared" si="3"/>
        <v>40097.206400000003</v>
      </c>
    </row>
    <row r="29" spans="1:31">
      <c r="A29" s="39" t="s">
        <v>49</v>
      </c>
      <c r="B29" s="40" t="s">
        <v>51</v>
      </c>
      <c r="C29" s="39">
        <v>55832.391799999998</v>
      </c>
      <c r="D29" s="39">
        <v>2.3E-3</v>
      </c>
      <c r="E29">
        <f t="shared" si="0"/>
        <v>33750.380072636195</v>
      </c>
      <c r="F29">
        <f t="shared" si="1"/>
        <v>33750.5</v>
      </c>
      <c r="G29">
        <f t="shared" si="4"/>
        <v>-0.10804314620327204</v>
      </c>
      <c r="J29">
        <f t="shared" si="5"/>
        <v>-0.10804314620327204</v>
      </c>
      <c r="O29">
        <f t="shared" ca="1" si="2"/>
        <v>-0.11622593908465842</v>
      </c>
      <c r="Q29" s="2">
        <f t="shared" si="3"/>
        <v>40813.891799999998</v>
      </c>
    </row>
    <row r="30" spans="1:31">
      <c r="A30" s="41" t="s">
        <v>50</v>
      </c>
      <c r="B30" s="40" t="s">
        <v>51</v>
      </c>
      <c r="C30" s="39">
        <v>55836.436399999999</v>
      </c>
      <c r="D30" s="39">
        <v>2.5999999999999999E-3</v>
      </c>
      <c r="E30">
        <f t="shared" si="0"/>
        <v>33754.869558852697</v>
      </c>
      <c r="F30">
        <f t="shared" si="1"/>
        <v>33755</v>
      </c>
      <c r="G30">
        <f t="shared" si="4"/>
        <v>-0.1175150649578427</v>
      </c>
      <c r="J30">
        <f t="shared" si="5"/>
        <v>-0.1175150649578427</v>
      </c>
      <c r="O30">
        <f t="shared" ca="1" si="2"/>
        <v>-0.11620448798935842</v>
      </c>
      <c r="Q30" s="2">
        <f t="shared" si="3"/>
        <v>40817.936399999999</v>
      </c>
    </row>
    <row r="31" spans="1:31">
      <c r="A31" s="44" t="s">
        <v>55</v>
      </c>
      <c r="B31" s="45" t="s">
        <v>51</v>
      </c>
      <c r="C31" s="44">
        <v>56157.491600000001</v>
      </c>
      <c r="D31" s="44">
        <v>4.0000000000000001E-3</v>
      </c>
      <c r="E31">
        <f t="shared" si="0"/>
        <v>34111.239260464063</v>
      </c>
      <c r="F31">
        <f t="shared" si="1"/>
        <v>34111</v>
      </c>
      <c r="O31">
        <f t="shared" ca="1" si="2"/>
        <v>-0.11450746800562672</v>
      </c>
      <c r="Q31" s="2">
        <f t="shared" si="3"/>
        <v>41138.991600000001</v>
      </c>
      <c r="R31">
        <f>+C31-(C$7+F31*C$8)</f>
        <v>0.21555091746995458</v>
      </c>
    </row>
    <row r="32" spans="1:31">
      <c r="A32" s="39" t="s">
        <v>49</v>
      </c>
      <c r="B32" s="40" t="s">
        <v>51</v>
      </c>
      <c r="C32" s="39">
        <v>56490.501199999999</v>
      </c>
      <c r="D32" s="39">
        <v>1.6000000000000001E-3</v>
      </c>
      <c r="E32">
        <f t="shared" si="0"/>
        <v>34480.878287602434</v>
      </c>
      <c r="F32">
        <f t="shared" si="1"/>
        <v>34481</v>
      </c>
      <c r="G32">
        <f>+C32-(C$7+F32*C$8)</f>
        <v>-0.10965129180112854</v>
      </c>
      <c r="J32">
        <f t="shared" si="5"/>
        <v>-0.10965129180112854</v>
      </c>
      <c r="O32">
        <f t="shared" ca="1" si="2"/>
        <v>-0.11274371128096175</v>
      </c>
      <c r="Q32" s="2">
        <f t="shared" si="3"/>
        <v>41472.001199999999</v>
      </c>
    </row>
    <row r="33" spans="3:4">
      <c r="C33" s="17"/>
      <c r="D33" s="18"/>
    </row>
    <row r="34" spans="3:4">
      <c r="C34" s="17"/>
      <c r="D34" s="18"/>
    </row>
    <row r="35" spans="3:4">
      <c r="D35" s="6"/>
    </row>
    <row r="36" spans="3:4">
      <c r="D36" s="6"/>
    </row>
    <row r="37" spans="3:4">
      <c r="D37" s="6"/>
    </row>
    <row r="38" spans="3:4">
      <c r="D38" s="6"/>
    </row>
    <row r="39" spans="3:4">
      <c r="D39" s="6"/>
    </row>
    <row r="40" spans="3:4">
      <c r="D40" s="6"/>
    </row>
    <row r="41" spans="3:4">
      <c r="D41" s="6"/>
    </row>
    <row r="42" spans="3:4">
      <c r="D42" s="6"/>
    </row>
    <row r="43" spans="3:4">
      <c r="D43" s="6"/>
    </row>
    <row r="44" spans="3:4">
      <c r="D44" s="6"/>
    </row>
    <row r="45" spans="3:4">
      <c r="D45" s="6"/>
    </row>
    <row r="46" spans="3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2024-02-04T04:28:47Z</dcterms:modified>
</cp:coreProperties>
</file>