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099B515-ED39-40C7-9B44-38CC34D6031D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G13" i="1" l="1"/>
  <c r="G14" i="1" s="1"/>
  <c r="C13" i="1"/>
  <c r="E49" i="1"/>
  <c r="F49" i="1"/>
  <c r="G4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2" i="1"/>
  <c r="Q53" i="1"/>
  <c r="G41" i="2"/>
  <c r="C41" i="2"/>
  <c r="G40" i="2"/>
  <c r="C40" i="2"/>
  <c r="G13" i="2"/>
  <c r="C13" i="2"/>
  <c r="G12" i="2"/>
  <c r="C12" i="2"/>
  <c r="G11" i="2"/>
  <c r="C11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41" i="2"/>
  <c r="D41" i="2"/>
  <c r="B41" i="2"/>
  <c r="A41" i="2"/>
  <c r="H40" i="2"/>
  <c r="B40" i="2"/>
  <c r="D40" i="2"/>
  <c r="A40" i="2"/>
  <c r="H13" i="2"/>
  <c r="D13" i="2"/>
  <c r="B13" i="2"/>
  <c r="A13" i="2"/>
  <c r="H12" i="2"/>
  <c r="B12" i="2"/>
  <c r="D12" i="2"/>
  <c r="A12" i="2"/>
  <c r="H11" i="2"/>
  <c r="D11" i="2"/>
  <c r="B11" i="2"/>
  <c r="A11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C8" i="1"/>
  <c r="E24" i="1"/>
  <c r="F24" i="1"/>
  <c r="G24" i="1"/>
  <c r="Q49" i="1"/>
  <c r="Q48" i="1"/>
  <c r="Q50" i="1"/>
  <c r="Q51" i="1"/>
  <c r="Q47" i="1"/>
  <c r="E37" i="2"/>
  <c r="T24" i="1"/>
  <c r="H24" i="1"/>
  <c r="E17" i="2"/>
  <c r="E14" i="2"/>
  <c r="E18" i="2"/>
  <c r="E29" i="2"/>
  <c r="E26" i="2"/>
  <c r="E30" i="2"/>
  <c r="E13" i="2"/>
  <c r="E31" i="2"/>
  <c r="I49" i="1"/>
  <c r="T49" i="1"/>
  <c r="E50" i="1"/>
  <c r="F50" i="1"/>
  <c r="G50" i="1"/>
  <c r="E21" i="1"/>
  <c r="F21" i="1"/>
  <c r="E46" i="1"/>
  <c r="F46" i="1"/>
  <c r="G46" i="1"/>
  <c r="E42" i="1"/>
  <c r="F42" i="1"/>
  <c r="G42" i="1"/>
  <c r="E39" i="1"/>
  <c r="F39" i="1"/>
  <c r="G39" i="1"/>
  <c r="E35" i="1"/>
  <c r="F35" i="1"/>
  <c r="G35" i="1"/>
  <c r="E31" i="1"/>
  <c r="F31" i="1"/>
  <c r="G31" i="1"/>
  <c r="E29" i="1"/>
  <c r="F29" i="1"/>
  <c r="G29" i="1"/>
  <c r="E27" i="1"/>
  <c r="F27" i="1"/>
  <c r="G27" i="1"/>
  <c r="E22" i="1"/>
  <c r="F22" i="1"/>
  <c r="G22" i="1"/>
  <c r="E45" i="1"/>
  <c r="F45" i="1"/>
  <c r="G45" i="1"/>
  <c r="E40" i="1"/>
  <c r="F40" i="1"/>
  <c r="G40" i="1"/>
  <c r="E36" i="1"/>
  <c r="F36" i="1"/>
  <c r="G36" i="1"/>
  <c r="E32" i="1"/>
  <c r="F32" i="1"/>
  <c r="G32" i="1"/>
  <c r="E25" i="1"/>
  <c r="F25" i="1"/>
  <c r="G25" i="1"/>
  <c r="E47" i="1"/>
  <c r="F47" i="1"/>
  <c r="G47" i="1"/>
  <c r="E51" i="1"/>
  <c r="F51" i="1"/>
  <c r="G51" i="1"/>
  <c r="E48" i="1"/>
  <c r="F48" i="1"/>
  <c r="G48" i="1"/>
  <c r="E53" i="1"/>
  <c r="F53" i="1"/>
  <c r="G53" i="1"/>
  <c r="E44" i="1"/>
  <c r="F44" i="1"/>
  <c r="G44" i="1"/>
  <c r="E41" i="1"/>
  <c r="F41" i="1"/>
  <c r="G41" i="1"/>
  <c r="E37" i="1"/>
  <c r="F37" i="1"/>
  <c r="G37" i="1"/>
  <c r="E33" i="1"/>
  <c r="F33" i="1"/>
  <c r="G33" i="1"/>
  <c r="E30" i="1"/>
  <c r="F30" i="1"/>
  <c r="G30" i="1"/>
  <c r="E28" i="1"/>
  <c r="F28" i="1"/>
  <c r="G28" i="1"/>
  <c r="E23" i="1"/>
  <c r="F23" i="1"/>
  <c r="G23" i="1"/>
  <c r="E52" i="1"/>
  <c r="F52" i="1"/>
  <c r="G52" i="1"/>
  <c r="E43" i="1"/>
  <c r="F43" i="1"/>
  <c r="G43" i="1"/>
  <c r="E38" i="1"/>
  <c r="F38" i="1"/>
  <c r="G38" i="1"/>
  <c r="E34" i="1"/>
  <c r="F34" i="1"/>
  <c r="G34" i="1"/>
  <c r="E26" i="1"/>
  <c r="F26" i="1"/>
  <c r="G26" i="1"/>
  <c r="H32" i="1"/>
  <c r="T32" i="1"/>
  <c r="E40" i="2"/>
  <c r="H41" i="1"/>
  <c r="S41" i="1"/>
  <c r="T36" i="1"/>
  <c r="H36" i="1"/>
  <c r="H39" i="1"/>
  <c r="S39" i="1"/>
  <c r="E25" i="2"/>
  <c r="E11" i="2"/>
  <c r="E34" i="2"/>
  <c r="E39" i="2"/>
  <c r="T34" i="1"/>
  <c r="H34" i="1"/>
  <c r="H35" i="1"/>
  <c r="S35" i="1"/>
  <c r="T38" i="1"/>
  <c r="H38" i="1"/>
  <c r="H43" i="1"/>
  <c r="T43" i="1"/>
  <c r="S44" i="1"/>
  <c r="H44" i="1"/>
  <c r="T40" i="1"/>
  <c r="H40" i="1"/>
  <c r="H42" i="1"/>
  <c r="S42" i="1"/>
  <c r="E19" i="2"/>
  <c r="E15" i="2"/>
  <c r="E20" i="2"/>
  <c r="E33" i="2"/>
  <c r="S30" i="1"/>
  <c r="H30" i="1"/>
  <c r="K52" i="1"/>
  <c r="T52" i="1"/>
  <c r="H45" i="1"/>
  <c r="T45" i="1"/>
  <c r="E28" i="2"/>
  <c r="E27" i="2"/>
  <c r="H23" i="1"/>
  <c r="S23" i="1"/>
  <c r="I48" i="1"/>
  <c r="S48" i="1"/>
  <c r="S22" i="1"/>
  <c r="H22" i="1"/>
  <c r="C11" i="1"/>
  <c r="G21" i="1"/>
  <c r="E38" i="2"/>
  <c r="E12" i="2"/>
  <c r="E23" i="2"/>
  <c r="E21" i="2"/>
  <c r="H37" i="1"/>
  <c r="S37" i="1"/>
  <c r="S53" i="1"/>
  <c r="K53" i="1"/>
  <c r="H46" i="1"/>
  <c r="S46" i="1"/>
  <c r="S28" i="1"/>
  <c r="H28" i="1"/>
  <c r="J51" i="1"/>
  <c r="S51" i="1"/>
  <c r="H27" i="1"/>
  <c r="S27" i="1"/>
  <c r="S50" i="1"/>
  <c r="K50" i="1"/>
  <c r="E32" i="2"/>
  <c r="E35" i="2"/>
  <c r="E16" i="2"/>
  <c r="K47" i="1"/>
  <c r="T47" i="1"/>
  <c r="H29" i="1"/>
  <c r="S29" i="1"/>
  <c r="E22" i="2"/>
  <c r="T26" i="1"/>
  <c r="H26" i="1"/>
  <c r="H33" i="1"/>
  <c r="S33" i="1"/>
  <c r="D11" i="1"/>
  <c r="D15" i="1"/>
  <c r="D18" i="1"/>
  <c r="H25" i="1"/>
  <c r="T25" i="1"/>
  <c r="H31" i="1"/>
  <c r="S31" i="1"/>
  <c r="E36" i="2"/>
  <c r="E24" i="2"/>
  <c r="E41" i="2"/>
  <c r="H21" i="1"/>
  <c r="T21" i="1"/>
  <c r="O23" i="1"/>
  <c r="O25" i="1"/>
  <c r="O27" i="1"/>
  <c r="O29" i="1"/>
  <c r="O31" i="1"/>
  <c r="O33" i="1"/>
  <c r="O35" i="1"/>
  <c r="O37" i="1"/>
  <c r="O39" i="1"/>
  <c r="O41" i="1"/>
  <c r="O43" i="1"/>
  <c r="O45" i="1"/>
  <c r="O52" i="1"/>
  <c r="O49" i="1"/>
  <c r="O50" i="1"/>
  <c r="O21" i="1"/>
  <c r="O48" i="1"/>
  <c r="O51" i="1"/>
  <c r="O22" i="1"/>
  <c r="O26" i="1"/>
  <c r="O30" i="1"/>
  <c r="O34" i="1"/>
  <c r="O38" i="1"/>
  <c r="O42" i="1"/>
  <c r="O46" i="1"/>
  <c r="C15" i="1"/>
  <c r="C18" i="1"/>
  <c r="O47" i="1"/>
  <c r="O24" i="1"/>
  <c r="O28" i="1"/>
  <c r="O32" i="1"/>
  <c r="O36" i="1"/>
  <c r="O40" i="1"/>
  <c r="O44" i="1"/>
  <c r="O53" i="1"/>
  <c r="S19" i="1"/>
  <c r="E18" i="1"/>
  <c r="C12" i="1"/>
  <c r="D12" i="1"/>
  <c r="D16" i="1"/>
  <c r="D19" i="1"/>
  <c r="T19" i="1"/>
  <c r="E19" i="1"/>
  <c r="P49" i="1"/>
  <c r="P50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52" i="1"/>
  <c r="P47" i="1"/>
  <c r="C16" i="1"/>
  <c r="C19" i="1"/>
  <c r="P48" i="1"/>
  <c r="P51" i="1"/>
  <c r="P22" i="1"/>
  <c r="P24" i="1"/>
  <c r="P26" i="1"/>
  <c r="P28" i="1"/>
  <c r="P30" i="1"/>
  <c r="P32" i="1"/>
  <c r="P34" i="1"/>
  <c r="P36" i="1"/>
  <c r="P38" i="1"/>
  <c r="P40" i="1"/>
  <c r="P42" i="1"/>
  <c r="P44" i="1"/>
  <c r="P46" i="1"/>
  <c r="P53" i="1"/>
  <c r="G15" i="1" l="1"/>
  <c r="G16" i="1" s="1"/>
</calcChain>
</file>

<file path=xl/sharedStrings.xml><?xml version="1.0" encoding="utf-8"?>
<sst xmlns="http://schemas.openxmlformats.org/spreadsheetml/2006/main" count="380" uniqueCount="159">
  <si>
    <t>--- Working ----</t>
  </si>
  <si>
    <t>Epoch =</t>
  </si>
  <si>
    <t>Period =</t>
  </si>
  <si>
    <t>Source</t>
  </si>
  <si>
    <t>Typ</t>
  </si>
  <si>
    <t>ToM</t>
  </si>
  <si>
    <t>n'</t>
  </si>
  <si>
    <t>n</t>
  </si>
  <si>
    <t>O-C</t>
  </si>
  <si>
    <t>error</t>
  </si>
  <si>
    <t>Date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</si>
  <si>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</si>
  <si>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</si>
  <si>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</si>
  <si>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</si>
  <si>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</si>
  <si>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</si>
  <si>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</si>
  <si>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</si>
  <si>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</si>
  <si>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</si>
  <si>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 xml:space="preserve">V1326 Cyg / GSC 3950-0258               </t>
  </si>
  <si>
    <t xml:space="preserve">EA        </t>
  </si>
  <si>
    <t>Kreiner Eph.</t>
  </si>
  <si>
    <t>I</t>
  </si>
  <si>
    <t>II</t>
  </si>
  <si>
    <t>J.M. Kreiner, 2004, Acta Astronomica, vol. 54, pp 207-210.</t>
  </si>
  <si>
    <t>IBVS 5745</t>
  </si>
  <si>
    <t>Kreiner</t>
  </si>
  <si>
    <t>IBVS 5802</t>
  </si>
  <si>
    <t>Intercept</t>
  </si>
  <si>
    <t>Slope</t>
  </si>
  <si>
    <t>New Elements ----</t>
  </si>
  <si>
    <t>Repeated ------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</si>
  <si>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</si>
  <si>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</si>
  <si>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</si>
  <si>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</si>
  <si>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</si>
  <si>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</si>
  <si>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</si>
  <si>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</si>
  <si>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</si>
  <si>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</si>
  <si>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</si>
  <si>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2426189.539 </t>
  </si>
  <si>
    <t> 01.08.1930 00:56 </t>
  </si>
  <si>
    <t> -0.110 </t>
  </si>
  <si>
    <t>P </t>
  </si>
  <si>
    <t> O.Morgenroth </t>
  </si>
  <si>
    <t> AN 251.327 </t>
  </si>
  <si>
    <t>2426631.296 </t>
  </si>
  <si>
    <t> 16.10.1931 19:06 </t>
  </si>
  <si>
    <t> 0.089 </t>
  </si>
  <si>
    <t>2427298.496 </t>
  </si>
  <si>
    <t> 13.08.1933 23:54 </t>
  </si>
  <si>
    <t> 0.021 </t>
  </si>
  <si>
    <t>2428391.459 </t>
  </si>
  <si>
    <t> 10.08.1936 23:00 </t>
  </si>
  <si>
    <t> -0.174 </t>
  </si>
  <si>
    <t> W.Wenzel </t>
  </si>
  <si>
    <t> AN 281.180 </t>
  </si>
  <si>
    <t>2430793.65 </t>
  </si>
  <si>
    <t> 10.03.1943 03:36 </t>
  </si>
  <si>
    <t> -0.15 </t>
  </si>
  <si>
    <t> L.Meinunger </t>
  </si>
  <si>
    <t> MVS 4.149 </t>
  </si>
  <si>
    <t>2431327.47 </t>
  </si>
  <si>
    <t> 24.08.1944 23:16 </t>
  </si>
  <si>
    <t> -0.14 </t>
  </si>
  <si>
    <t>2431585.53 </t>
  </si>
  <si>
    <t> 10.05.1945 00:43 </t>
  </si>
  <si>
    <t>2434221.45 </t>
  </si>
  <si>
    <t> 27.07.1952 22:48 </t>
  </si>
  <si>
    <t> 0.07 </t>
  </si>
  <si>
    <t>2434271.36 </t>
  </si>
  <si>
    <t> 15.09.1952 20:38 </t>
  </si>
  <si>
    <t> -0.07 </t>
  </si>
  <si>
    <t>2436790.45 </t>
  </si>
  <si>
    <t> 09.08.1959 22:48 </t>
  </si>
  <si>
    <t> 0.09 </t>
  </si>
  <si>
    <t>2436840.35 </t>
  </si>
  <si>
    <t> 28.09.1959 20:24 </t>
  </si>
  <si>
    <t> -0.06 </t>
  </si>
  <si>
    <t>2436899.24 </t>
  </si>
  <si>
    <t> 26.11.1959 17:45 </t>
  </si>
  <si>
    <t>2437824.45 </t>
  </si>
  <si>
    <t> 08.06.1962 22:48 </t>
  </si>
  <si>
    <t> -0.18 </t>
  </si>
  <si>
    <t>2437883.43 </t>
  </si>
  <si>
    <t> 06.08.1962 22:19 </t>
  </si>
  <si>
    <t> -0.09 </t>
  </si>
  <si>
    <t>2437941.45 </t>
  </si>
  <si>
    <t> 03.10.1962 22:48 </t>
  </si>
  <si>
    <t> 0.05 </t>
  </si>
  <si>
    <t>2438050.25 </t>
  </si>
  <si>
    <t> 20.01.1963 18:00 </t>
  </si>
  <si>
    <t>2438091.67 </t>
  </si>
  <si>
    <t> 03.03.1963 04:04 </t>
  </si>
  <si>
    <t> 0.14 </t>
  </si>
  <si>
    <t>2438300.47 </t>
  </si>
  <si>
    <t> 27.09.1963 23:16 </t>
  </si>
  <si>
    <t>2438558.48 </t>
  </si>
  <si>
    <t> 11.06.1964 23:31 </t>
  </si>
  <si>
    <t>2438817.67 </t>
  </si>
  <si>
    <t> 26.02.1965 04:04 </t>
  </si>
  <si>
    <t> -0.03 </t>
  </si>
  <si>
    <t>2439025.42 </t>
  </si>
  <si>
    <t> 21.09.1965 22:04 </t>
  </si>
  <si>
    <t> -0.29 </t>
  </si>
  <si>
    <t>2439142.28 </t>
  </si>
  <si>
    <t> 16.01.1966 18:43 </t>
  </si>
  <si>
    <t> -0.20 </t>
  </si>
  <si>
    <t>2439184.67 </t>
  </si>
  <si>
    <t> 28.02.1966 04:04 </t>
  </si>
  <si>
    <t> -0.02 </t>
  </si>
  <si>
    <t>2439242.58 </t>
  </si>
  <si>
    <t> 27.04.1966 01:55 </t>
  </si>
  <si>
    <t> 0.01 </t>
  </si>
  <si>
    <t>2439351.45 </t>
  </si>
  <si>
    <t> 13.08.1966 22:48 </t>
  </si>
  <si>
    <t>2439709.50 </t>
  </si>
  <si>
    <t> 07.08.1967 00:00 </t>
  </si>
  <si>
    <t> -0.16 </t>
  </si>
  <si>
    <t>2450661.6760 </t>
  </si>
  <si>
    <t> 01.08.1997 04:13 </t>
  </si>
  <si>
    <t> -0.0265 </t>
  </si>
  <si>
    <t>E </t>
  </si>
  <si>
    <t>?</t>
  </si>
  <si>
    <t> Smith &amp; Caton </t>
  </si>
  <si>
    <t>IBVS 5745 </t>
  </si>
  <si>
    <t>2453588.8343 </t>
  </si>
  <si>
    <t> 06.08.2005 08:01 </t>
  </si>
  <si>
    <t> 0.0006 </t>
  </si>
  <si>
    <t>2454239.4193 </t>
  </si>
  <si>
    <t> 18.05.2007 22:03 </t>
  </si>
  <si>
    <t> -0.0007 </t>
  </si>
  <si>
    <t>C </t>
  </si>
  <si>
    <t>-I</t>
  </si>
  <si>
    <t> F.Agerer </t>
  </si>
  <si>
    <t>BAVM 186 </t>
  </si>
  <si>
    <t>2454715.3539 </t>
  </si>
  <si>
    <t> 05.09.2008 20:29 </t>
  </si>
  <si>
    <t>1578.5</t>
  </si>
  <si>
    <t> -0.0017 </t>
  </si>
  <si>
    <t>BAVM 203 </t>
  </si>
  <si>
    <t>2455073.5038 </t>
  </si>
  <si>
    <t> 30.08.2009 00:05 </t>
  </si>
  <si>
    <t>1600</t>
  </si>
  <si>
    <t> -0.0012 </t>
  </si>
  <si>
    <t>BAVM 212 </t>
  </si>
  <si>
    <t># of data points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</si>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</sst>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>
      <alignment vertical="top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NumberFormat="1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10" fillId="0" borderId="0" xfId="0" applyFont="1">
      <alignment vertical="top"/>
    </xf>
    <xf numFmtId="0" fontId="18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19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O-C Diagr.</a:t>
            </a:r>
          </a:p>
        </c:rich>
      </c:tx>
      <c:layout>
        <c:manualLayout>
          <c:xMode val="edge"/>
          <c:yMode val="edge"/>
          <c:x val="0.3725806451612903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01531966242162"/>
          <c:w val="0.82096774193548383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1'!$H$21:$H$121</c:f>
              <c:numCache>
                <c:formatCode>General</c:formatCode>
                <c:ptCount val="101"/>
                <c:pt idx="0">
                  <c:v>0.54714112244619173</c:v>
                </c:pt>
                <c:pt idx="1">
                  <c:v>0.23670612244677613</c:v>
                </c:pt>
                <c:pt idx="2">
                  <c:v>0.16510612244746881</c:v>
                </c:pt>
                <c:pt idx="3">
                  <c:v>0.47086112244505784</c:v>
                </c:pt>
                <c:pt idx="4">
                  <c:v>0.48410112244891934</c:v>
                </c:pt>
                <c:pt idx="5">
                  <c:v>0.48682112244932796</c:v>
                </c:pt>
                <c:pt idx="6">
                  <c:v>-2.0923877553286729E-2</c:v>
                </c:pt>
                <c:pt idx="7">
                  <c:v>0.17625612244592048</c:v>
                </c:pt>
                <c:pt idx="8">
                  <c:v>4.0886122442316264E-2</c:v>
                </c:pt>
                <c:pt idx="9">
                  <c:v>0.18059612244542222</c:v>
                </c:pt>
                <c:pt idx="10">
                  <c:v>3.5226122447056696E-2</c:v>
                </c:pt>
                <c:pt idx="11">
                  <c:v>0.53896112244547112</c:v>
                </c:pt>
                <c:pt idx="12">
                  <c:v>-9.0383877555723302E-2</c:v>
                </c:pt>
                <c:pt idx="13">
                  <c:v>0.50335112244647462</c:v>
                </c:pt>
                <c:pt idx="14">
                  <c:v>0.1370861224422697</c:v>
                </c:pt>
                <c:pt idx="15">
                  <c:v>0.50545112244435586</c:v>
                </c:pt>
                <c:pt idx="16">
                  <c:v>0.22097612244397169</c:v>
                </c:pt>
                <c:pt idx="17">
                  <c:v>0.49860112244641641</c:v>
                </c:pt>
                <c:pt idx="18">
                  <c:v>-5.9143877551832702E-2</c:v>
                </c:pt>
                <c:pt idx="19">
                  <c:v>0.56311112244293327</c:v>
                </c:pt>
                <c:pt idx="20">
                  <c:v>-0.20926387755025644</c:v>
                </c:pt>
                <c:pt idx="21">
                  <c:v>-0.12179387755168136</c:v>
                </c:pt>
                <c:pt idx="22">
                  <c:v>0.56373112244182266</c:v>
                </c:pt>
                <c:pt idx="23">
                  <c:v>8.746612245158758E-2</c:v>
                </c:pt>
                <c:pt idx="24">
                  <c:v>0.52583112244610675</c:v>
                </c:pt>
                <c:pt idx="25">
                  <c:v>-8.2653877550910693E-2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11-4697-A44D-915DFCB14DB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1'!$I$21:$I$121</c:f>
              <c:numCache>
                <c:formatCode>General</c:formatCode>
                <c:ptCount val="101"/>
                <c:pt idx="27">
                  <c:v>-5.583877551543992E-3</c:v>
                </c:pt>
                <c:pt idx="28">
                  <c:v>0.5135211224478553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11-4697-A44D-915DFCB14DB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1'!$J$21:$J$121</c:f>
              <c:numCache>
                <c:formatCode>General</c:formatCode>
                <c:ptCount val="101"/>
                <c:pt idx="30">
                  <c:v>-2.4438775508315302E-3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11-4697-A44D-915DFCB14DB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1'!$K$21:$K$121</c:f>
              <c:numCache>
                <c:formatCode>General</c:formatCode>
                <c:ptCount val="101"/>
                <c:pt idx="26">
                  <c:v>0.4982111224453547</c:v>
                </c:pt>
                <c:pt idx="29">
                  <c:v>2.3661224477109499E-3</c:v>
                </c:pt>
                <c:pt idx="31">
                  <c:v>0.50114112244773423</c:v>
                </c:pt>
                <c:pt idx="32">
                  <c:v>-7.4438775554881431E-3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11-4697-A44D-915DFCB14DB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1'!$L$21:$L$121</c:f>
              <c:numCache>
                <c:formatCode>General</c:formatCode>
                <c:ptCount val="1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11-4697-A44D-915DFCB14DB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1'!$M$21:$M$121</c:f>
              <c:numCache>
                <c:formatCode>General</c:formatCode>
                <c:ptCount val="1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11-4697-A44D-915DFCB14DB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1'!$N$21:$N$121</c:f>
              <c:numCache>
                <c:formatCode>General</c:formatCode>
                <c:ptCount val="1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11-4697-A44D-915DFCB14DB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1'!$O$21:$O$121</c:f>
              <c:numCache>
                <c:formatCode>General</c:formatCode>
                <c:ptCount val="101"/>
                <c:pt idx="0">
                  <c:v>0.11028038006883195</c:v>
                </c:pt>
                <c:pt idx="1">
                  <c:v>0.10783193489447063</c:v>
                </c:pt>
                <c:pt idx="2">
                  <c:v>0.10413616859354791</c:v>
                </c:pt>
                <c:pt idx="3">
                  <c:v>9.8084351275786907E-2</c:v>
                </c:pt>
                <c:pt idx="4">
                  <c:v>8.4779592592465092E-2</c:v>
                </c:pt>
                <c:pt idx="5">
                  <c:v>8.1822979551726904E-2</c:v>
                </c:pt>
                <c:pt idx="6">
                  <c:v>8.0390870110119333E-2</c:v>
                </c:pt>
                <c:pt idx="7">
                  <c:v>6.5792593221474543E-2</c:v>
                </c:pt>
                <c:pt idx="8">
                  <c:v>6.5515410748905323E-2</c:v>
                </c:pt>
                <c:pt idx="9">
                  <c:v>5.1563892962922013E-2</c:v>
                </c:pt>
                <c:pt idx="10">
                  <c:v>5.1286710490352806E-2</c:v>
                </c:pt>
                <c:pt idx="11">
                  <c:v>5.0963330939022063E-2</c:v>
                </c:pt>
                <c:pt idx="12">
                  <c:v>4.5835455196491771E-2</c:v>
                </c:pt>
                <c:pt idx="13">
                  <c:v>4.5512075645161028E-2</c:v>
                </c:pt>
                <c:pt idx="14">
                  <c:v>4.5188696093830298E-2</c:v>
                </c:pt>
                <c:pt idx="15">
                  <c:v>4.4588134069930348E-2</c:v>
                </c:pt>
                <c:pt idx="16">
                  <c:v>4.4357148676122678E-2</c:v>
                </c:pt>
                <c:pt idx="17">
                  <c:v>4.3202221707084328E-2</c:v>
                </c:pt>
                <c:pt idx="18">
                  <c:v>4.1770112265476771E-2</c:v>
                </c:pt>
                <c:pt idx="19">
                  <c:v>4.0338002823869214E-2</c:v>
                </c:pt>
                <c:pt idx="20">
                  <c:v>3.918307585483085E-2</c:v>
                </c:pt>
                <c:pt idx="21">
                  <c:v>3.8536316752169376E-2</c:v>
                </c:pt>
                <c:pt idx="22">
                  <c:v>3.8305331358361706E-2</c:v>
                </c:pt>
                <c:pt idx="23">
                  <c:v>3.7981951807030963E-2</c:v>
                </c:pt>
                <c:pt idx="24">
                  <c:v>3.7381389783131026E-2</c:v>
                </c:pt>
                <c:pt idx="25">
                  <c:v>3.5394915396385056E-2</c:v>
                </c:pt>
                <c:pt idx="26">
                  <c:v>-2.5261849017509306E-2</c:v>
                </c:pt>
                <c:pt idx="27">
                  <c:v>-3.5471403423808362E-2</c:v>
                </c:pt>
                <c:pt idx="28">
                  <c:v>-3.5517600502569892E-2</c:v>
                </c:pt>
                <c:pt idx="29">
                  <c:v>-4.1477023662807797E-2</c:v>
                </c:pt>
                <c:pt idx="30">
                  <c:v>-4.5080395806207464E-2</c:v>
                </c:pt>
                <c:pt idx="31">
                  <c:v>-4.7713629295614915E-2</c:v>
                </c:pt>
                <c:pt idx="32">
                  <c:v>-4.9700103682360879E-2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11-4697-A44D-915DFCB14DB7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1'!$F$21:$F$121</c:f>
              <c:numCache>
                <c:formatCode>General</c:formatCode>
                <c:ptCount val="1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1'!$P$21:$P$121</c:f>
              <c:numCache>
                <c:formatCode>General</c:formatCode>
                <c:ptCount val="101"/>
                <c:pt idx="0">
                  <c:v>0.51333693878221709</c:v>
                </c:pt>
                <c:pt idx="1">
                  <c:v>0.51337231530824434</c:v>
                </c:pt>
                <c:pt idx="2">
                  <c:v>0.51342571383809676</c:v>
                </c:pt>
                <c:pt idx="3">
                  <c:v>0.51351315393073016</c:v>
                </c:pt>
                <c:pt idx="4">
                  <c:v>0.51370538863819892</c:v>
                </c:pt>
                <c:pt idx="5">
                  <c:v>0.51374810746208088</c:v>
                </c:pt>
                <c:pt idx="6">
                  <c:v>0.51376879939239861</c:v>
                </c:pt>
                <c:pt idx="7">
                  <c:v>0.51397972358531574</c:v>
                </c:pt>
                <c:pt idx="8">
                  <c:v>0.51398372847505469</c:v>
                </c:pt>
                <c:pt idx="9">
                  <c:v>0.51418530792524764</c:v>
                </c:pt>
                <c:pt idx="10">
                  <c:v>0.51418931281498659</c:v>
                </c:pt>
                <c:pt idx="11">
                  <c:v>0.51419398518634862</c:v>
                </c:pt>
                <c:pt idx="12">
                  <c:v>0.51426807564651889</c:v>
                </c:pt>
                <c:pt idx="13">
                  <c:v>0.51427274801788103</c:v>
                </c:pt>
                <c:pt idx="14">
                  <c:v>0.51427742038924307</c:v>
                </c:pt>
                <c:pt idx="15">
                  <c:v>0.51428609765034405</c:v>
                </c:pt>
                <c:pt idx="16">
                  <c:v>0.51428943505845992</c:v>
                </c:pt>
                <c:pt idx="17">
                  <c:v>0.5143061220990387</c:v>
                </c:pt>
                <c:pt idx="18">
                  <c:v>0.51432681402935654</c:v>
                </c:pt>
                <c:pt idx="19">
                  <c:v>0.51434750595967438</c:v>
                </c:pt>
                <c:pt idx="20">
                  <c:v>0.51436419300025327</c:v>
                </c:pt>
                <c:pt idx="21">
                  <c:v>0.51437353774297745</c:v>
                </c:pt>
                <c:pt idx="22">
                  <c:v>0.5143768751510932</c:v>
                </c:pt>
                <c:pt idx="23">
                  <c:v>0.51438154752245535</c:v>
                </c:pt>
                <c:pt idx="24">
                  <c:v>0.51439022478355634</c:v>
                </c:pt>
                <c:pt idx="25">
                  <c:v>0.51441892649335197</c:v>
                </c:pt>
                <c:pt idx="26">
                  <c:v>0.51529532986455506</c:v>
                </c:pt>
                <c:pt idx="27">
                  <c:v>0.51544284330327239</c:v>
                </c:pt>
                <c:pt idx="28">
                  <c:v>0.51544351078489559</c:v>
                </c:pt>
                <c:pt idx="29">
                  <c:v>0.51552961591428259</c:v>
                </c:pt>
                <c:pt idx="30">
                  <c:v>0.51558167948088873</c:v>
                </c:pt>
                <c:pt idx="31">
                  <c:v>0.51561972593340855</c:v>
                </c:pt>
                <c:pt idx="32">
                  <c:v>0.51564842764320429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11-4697-A44D-915DFCB14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721072"/>
        <c:axId val="1"/>
      </c:scatterChart>
      <c:valAx>
        <c:axId val="537721072"/>
        <c:scaling>
          <c:orientation val="minMax"/>
          <c:max val="1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6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721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70967741935483"/>
          <c:y val="0.92145141978098655"/>
          <c:w val="0.8032258064516129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V1326 Cyg - Prim. O-C Diagr.</a:t>
            </a:r>
          </a:p>
        </c:rich>
      </c:tx>
      <c:layout>
        <c:manualLayout>
          <c:xMode val="edge"/>
          <c:yMode val="edge"/>
          <c:x val="0.2702704885382050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545497589659059"/>
          <c:w val="0.76299453753830881"/>
          <c:h val="0.63333520754973827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0.23670612244677613</c:v>
                </c:pt>
                <c:pt idx="2">
                  <c:v>0.16510612244746881</c:v>
                </c:pt>
                <c:pt idx="6">
                  <c:v>-2.0923877553286729E-2</c:v>
                </c:pt>
                <c:pt idx="7">
                  <c:v>0.17625612244592048</c:v>
                </c:pt>
                <c:pt idx="8">
                  <c:v>4.0886122442316264E-2</c:v>
                </c:pt>
                <c:pt idx="9">
                  <c:v>0.18059612244542222</c:v>
                </c:pt>
                <c:pt idx="10">
                  <c:v>3.5226122447056696E-2</c:v>
                </c:pt>
                <c:pt idx="12">
                  <c:v>-9.0383877555723302E-2</c:v>
                </c:pt>
                <c:pt idx="14">
                  <c:v>0.1370861224422697</c:v>
                </c:pt>
                <c:pt idx="16">
                  <c:v>0.22097612244397169</c:v>
                </c:pt>
                <c:pt idx="18">
                  <c:v>-5.9143877551832702E-2</c:v>
                </c:pt>
                <c:pt idx="20">
                  <c:v>-0.20926387755025644</c:v>
                </c:pt>
                <c:pt idx="21">
                  <c:v>-0.12179387755168136</c:v>
                </c:pt>
                <c:pt idx="23">
                  <c:v>8.746612245158758E-2</c:v>
                </c:pt>
                <c:pt idx="25">
                  <c:v>-8.2653877550910693E-2</c:v>
                </c:pt>
                <c:pt idx="27">
                  <c:v>-5.583877551543992E-3</c:v>
                </c:pt>
                <c:pt idx="29">
                  <c:v>2.3661224477109499E-3</c:v>
                </c:pt>
                <c:pt idx="30">
                  <c:v>-2.4438775508315302E-3</c:v>
                </c:pt>
                <c:pt idx="32">
                  <c:v>-7.4438775554881431E-3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6-4FE9-B548-0F29867F4E8B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0.11028038006883195</c:v>
                </c:pt>
                <c:pt idx="1">
                  <c:v>0.10783193489447063</c:v>
                </c:pt>
                <c:pt idx="2">
                  <c:v>0.10413616859354791</c:v>
                </c:pt>
                <c:pt idx="3">
                  <c:v>9.8084351275786907E-2</c:v>
                </c:pt>
                <c:pt idx="4">
                  <c:v>8.4779592592465092E-2</c:v>
                </c:pt>
                <c:pt idx="5">
                  <c:v>8.1822979551726904E-2</c:v>
                </c:pt>
                <c:pt idx="6">
                  <c:v>8.0390870110119333E-2</c:v>
                </c:pt>
                <c:pt idx="7">
                  <c:v>6.5792593221474543E-2</c:v>
                </c:pt>
                <c:pt idx="8">
                  <c:v>6.5515410748905323E-2</c:v>
                </c:pt>
                <c:pt idx="9">
                  <c:v>5.1563892962922013E-2</c:v>
                </c:pt>
                <c:pt idx="10">
                  <c:v>5.1286710490352806E-2</c:v>
                </c:pt>
                <c:pt idx="11">
                  <c:v>5.0963330939022063E-2</c:v>
                </c:pt>
                <c:pt idx="12">
                  <c:v>4.5835455196491771E-2</c:v>
                </c:pt>
                <c:pt idx="13">
                  <c:v>4.5512075645161028E-2</c:v>
                </c:pt>
                <c:pt idx="14">
                  <c:v>4.5188696093830298E-2</c:v>
                </c:pt>
                <c:pt idx="15">
                  <c:v>4.4588134069930348E-2</c:v>
                </c:pt>
                <c:pt idx="16">
                  <c:v>4.4357148676122678E-2</c:v>
                </c:pt>
                <c:pt idx="17">
                  <c:v>4.3202221707084328E-2</c:v>
                </c:pt>
                <c:pt idx="18">
                  <c:v>4.1770112265476771E-2</c:v>
                </c:pt>
                <c:pt idx="19">
                  <c:v>4.0338002823869214E-2</c:v>
                </c:pt>
                <c:pt idx="20">
                  <c:v>3.918307585483085E-2</c:v>
                </c:pt>
                <c:pt idx="21">
                  <c:v>3.8536316752169376E-2</c:v>
                </c:pt>
                <c:pt idx="22">
                  <c:v>3.8305331358361706E-2</c:v>
                </c:pt>
                <c:pt idx="23">
                  <c:v>3.7981951807030963E-2</c:v>
                </c:pt>
                <c:pt idx="24">
                  <c:v>3.7381389783131026E-2</c:v>
                </c:pt>
                <c:pt idx="25">
                  <c:v>3.5394915396385056E-2</c:v>
                </c:pt>
                <c:pt idx="26">
                  <c:v>-2.5261849017509306E-2</c:v>
                </c:pt>
                <c:pt idx="27">
                  <c:v>-3.5471403423808362E-2</c:v>
                </c:pt>
                <c:pt idx="28">
                  <c:v>-3.5517600502569892E-2</c:v>
                </c:pt>
                <c:pt idx="29">
                  <c:v>-4.1477023662807797E-2</c:v>
                </c:pt>
                <c:pt idx="30">
                  <c:v>-4.5080395806207464E-2</c:v>
                </c:pt>
                <c:pt idx="31">
                  <c:v>-4.7713629295614915E-2</c:v>
                </c:pt>
                <c:pt idx="32">
                  <c:v>-4.9700103682360879E-2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6-4FE9-B548-0F29867F4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1160"/>
        <c:axId val="1"/>
      </c:scatterChart>
      <c:valAx>
        <c:axId val="538551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551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121498449057504"/>
          <c:w val="0.30353452180223828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V1326 Cyg - Sec. O-C Diagr.</a:t>
            </a:r>
          </a:p>
        </c:rich>
      </c:tx>
      <c:layout>
        <c:manualLayout>
          <c:xMode val="edge"/>
          <c:yMode val="edge"/>
          <c:x val="0.3076924955042516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9064691644443"/>
          <c:y val="0.14501531966242162"/>
          <c:w val="0.79964291672744714"/>
          <c:h val="0.63444202352309453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1'!$T$20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1'!$T$21:$T$921</c:f>
              <c:numCache>
                <c:formatCode>General</c:formatCode>
                <c:ptCount val="901"/>
                <c:pt idx="0">
                  <c:v>0.54714112244619173</c:v>
                </c:pt>
                <c:pt idx="3">
                  <c:v>0.47086112244505784</c:v>
                </c:pt>
                <c:pt idx="4">
                  <c:v>0.48410112244891934</c:v>
                </c:pt>
                <c:pt idx="5">
                  <c:v>0.48682112244932796</c:v>
                </c:pt>
                <c:pt idx="11">
                  <c:v>0.53896112244547112</c:v>
                </c:pt>
                <c:pt idx="13">
                  <c:v>0.50335112244647462</c:v>
                </c:pt>
                <c:pt idx="15">
                  <c:v>0.50545112244435586</c:v>
                </c:pt>
                <c:pt idx="17">
                  <c:v>0.49860112244641641</c:v>
                </c:pt>
                <c:pt idx="19">
                  <c:v>0.56311112244293327</c:v>
                </c:pt>
                <c:pt idx="22">
                  <c:v>0.56373112244182266</c:v>
                </c:pt>
                <c:pt idx="24">
                  <c:v>0.52583112244610675</c:v>
                </c:pt>
                <c:pt idx="26">
                  <c:v>0.4982111224453547</c:v>
                </c:pt>
                <c:pt idx="28">
                  <c:v>0.5135211224478553</c:v>
                </c:pt>
                <c:pt idx="31">
                  <c:v>0.50114112244773423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1-4A42-9340-FA38EF37E186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-1681.5</c:v>
                </c:pt>
                <c:pt idx="1">
                  <c:v>-1655</c:v>
                </c:pt>
                <c:pt idx="2">
                  <c:v>-1615</c:v>
                </c:pt>
                <c:pt idx="3">
                  <c:v>-1549.5</c:v>
                </c:pt>
                <c:pt idx="4">
                  <c:v>-1405.5</c:v>
                </c:pt>
                <c:pt idx="5">
                  <c:v>-1373.5</c:v>
                </c:pt>
                <c:pt idx="6">
                  <c:v>-1358</c:v>
                </c:pt>
                <c:pt idx="7">
                  <c:v>-1200</c:v>
                </c:pt>
                <c:pt idx="8">
                  <c:v>-1197</c:v>
                </c:pt>
                <c:pt idx="9">
                  <c:v>-1046</c:v>
                </c:pt>
                <c:pt idx="10">
                  <c:v>-1043</c:v>
                </c:pt>
                <c:pt idx="11">
                  <c:v>-1039.5</c:v>
                </c:pt>
                <c:pt idx="12">
                  <c:v>-984</c:v>
                </c:pt>
                <c:pt idx="13">
                  <c:v>-980.5</c:v>
                </c:pt>
                <c:pt idx="14">
                  <c:v>-977</c:v>
                </c:pt>
                <c:pt idx="15">
                  <c:v>-970.5</c:v>
                </c:pt>
                <c:pt idx="16">
                  <c:v>-968</c:v>
                </c:pt>
                <c:pt idx="17">
                  <c:v>-955.5</c:v>
                </c:pt>
                <c:pt idx="18">
                  <c:v>-940</c:v>
                </c:pt>
                <c:pt idx="19">
                  <c:v>-924.5</c:v>
                </c:pt>
                <c:pt idx="20">
                  <c:v>-912</c:v>
                </c:pt>
                <c:pt idx="21">
                  <c:v>-905</c:v>
                </c:pt>
                <c:pt idx="22">
                  <c:v>-902.5</c:v>
                </c:pt>
                <c:pt idx="23">
                  <c:v>-899</c:v>
                </c:pt>
                <c:pt idx="24">
                  <c:v>-892.5</c:v>
                </c:pt>
                <c:pt idx="25">
                  <c:v>-871</c:v>
                </c:pt>
                <c:pt idx="26">
                  <c:v>-214.5</c:v>
                </c:pt>
                <c:pt idx="27">
                  <c:v>-104</c:v>
                </c:pt>
                <c:pt idx="28">
                  <c:v>-103.5</c:v>
                </c:pt>
                <c:pt idx="29">
                  <c:v>-39</c:v>
                </c:pt>
                <c:pt idx="30">
                  <c:v>0</c:v>
                </c:pt>
                <c:pt idx="31">
                  <c:v>28.5</c:v>
                </c:pt>
                <c:pt idx="32">
                  <c:v>50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0.51333693878221709</c:v>
                </c:pt>
                <c:pt idx="1">
                  <c:v>0.51337231530824434</c:v>
                </c:pt>
                <c:pt idx="2">
                  <c:v>0.51342571383809676</c:v>
                </c:pt>
                <c:pt idx="3">
                  <c:v>0.51351315393073016</c:v>
                </c:pt>
                <c:pt idx="4">
                  <c:v>0.51370538863819892</c:v>
                </c:pt>
                <c:pt idx="5">
                  <c:v>0.51374810746208088</c:v>
                </c:pt>
                <c:pt idx="6">
                  <c:v>0.51376879939239861</c:v>
                </c:pt>
                <c:pt idx="7">
                  <c:v>0.51397972358531574</c:v>
                </c:pt>
                <c:pt idx="8">
                  <c:v>0.51398372847505469</c:v>
                </c:pt>
                <c:pt idx="9">
                  <c:v>0.51418530792524764</c:v>
                </c:pt>
                <c:pt idx="10">
                  <c:v>0.51418931281498659</c:v>
                </c:pt>
                <c:pt idx="11">
                  <c:v>0.51419398518634862</c:v>
                </c:pt>
                <c:pt idx="12">
                  <c:v>0.51426807564651889</c:v>
                </c:pt>
                <c:pt idx="13">
                  <c:v>0.51427274801788103</c:v>
                </c:pt>
                <c:pt idx="14">
                  <c:v>0.51427742038924307</c:v>
                </c:pt>
                <c:pt idx="15">
                  <c:v>0.51428609765034405</c:v>
                </c:pt>
                <c:pt idx="16">
                  <c:v>0.51428943505845992</c:v>
                </c:pt>
                <c:pt idx="17">
                  <c:v>0.5143061220990387</c:v>
                </c:pt>
                <c:pt idx="18">
                  <c:v>0.51432681402935654</c:v>
                </c:pt>
                <c:pt idx="19">
                  <c:v>0.51434750595967438</c:v>
                </c:pt>
                <c:pt idx="20">
                  <c:v>0.51436419300025327</c:v>
                </c:pt>
                <c:pt idx="21">
                  <c:v>0.51437353774297745</c:v>
                </c:pt>
                <c:pt idx="22">
                  <c:v>0.5143768751510932</c:v>
                </c:pt>
                <c:pt idx="23">
                  <c:v>0.51438154752245535</c:v>
                </c:pt>
                <c:pt idx="24">
                  <c:v>0.51439022478355634</c:v>
                </c:pt>
                <c:pt idx="25">
                  <c:v>0.51441892649335197</c:v>
                </c:pt>
                <c:pt idx="26">
                  <c:v>0.51529532986455506</c:v>
                </c:pt>
                <c:pt idx="27">
                  <c:v>0.51544284330327239</c:v>
                </c:pt>
                <c:pt idx="28">
                  <c:v>0.51544351078489559</c:v>
                </c:pt>
                <c:pt idx="29">
                  <c:v>0.51552961591428259</c:v>
                </c:pt>
                <c:pt idx="30">
                  <c:v>0.51558167948088873</c:v>
                </c:pt>
                <c:pt idx="31">
                  <c:v>0.51561972593340855</c:v>
                </c:pt>
                <c:pt idx="32">
                  <c:v>0.51564842764320429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1-4A42-9340-FA38EF37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723232"/>
        <c:axId val="1"/>
      </c:scatterChart>
      <c:valAx>
        <c:axId val="537723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7282642889668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67262969588549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723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71593913014897"/>
          <c:y val="0.92145141978098655"/>
          <c:w val="0.2898034078477220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0</xdr:row>
      <xdr:rowOff>85726</xdr:rowOff>
    </xdr:from>
    <xdr:to>
      <xdr:col>18</xdr:col>
      <xdr:colOff>628649</xdr:colOff>
      <xdr:row>18</xdr:row>
      <xdr:rowOff>123826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4E4A4B60-7DEB-3DD5-8FEC-FD8AC5A77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13</xdr:col>
      <xdr:colOff>76200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EF77B8-C364-1BA7-6C61-0AD4E1DA1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76200</xdr:rowOff>
    </xdr:from>
    <xdr:to>
      <xdr:col>13</xdr:col>
      <xdr:colOff>28575</xdr:colOff>
      <xdr:row>43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0DD5EC7-3C4D-276B-B12F-412246508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5745" TargetMode="External"/><Relationship Id="rId5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G7" sqref="G6:G7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6" width="9.140625" customWidth="1"/>
    <col min="7" max="7" width="17.57031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7" ht="20.25" x14ac:dyDescent="0.3">
      <c r="A1" s="1" t="s">
        <v>21</v>
      </c>
    </row>
    <row r="2" spans="1:7" ht="13.5" thickBot="1" x14ac:dyDescent="0.25">
      <c r="A2" t="s">
        <v>11</v>
      </c>
      <c r="B2" s="5" t="s">
        <v>22</v>
      </c>
    </row>
    <row r="3" spans="1:7" ht="14.25" thickTop="1" thickBot="1" x14ac:dyDescent="0.25">
      <c r="A3" s="7" t="s">
        <v>23</v>
      </c>
      <c r="B3" s="5" t="s">
        <v>24</v>
      </c>
      <c r="C3" s="17">
        <v>54239.421743877552</v>
      </c>
      <c r="D3" s="18">
        <v>16.681829591836713</v>
      </c>
    </row>
    <row r="4" spans="1:7" ht="14.25" thickTop="1" thickBot="1" x14ac:dyDescent="0.25">
      <c r="A4" s="7" t="s">
        <v>23</v>
      </c>
      <c r="B4" s="5" t="s">
        <v>25</v>
      </c>
      <c r="C4" s="17">
        <v>52513.37</v>
      </c>
      <c r="D4" s="18">
        <v>16.681789999999999</v>
      </c>
      <c r="E4" s="19" t="s">
        <v>26</v>
      </c>
    </row>
    <row r="5" spans="1:7" ht="13.5" thickTop="1" x14ac:dyDescent="0.2">
      <c r="A5" s="53" t="s">
        <v>158</v>
      </c>
      <c r="C5" s="54">
        <v>-9.5</v>
      </c>
    </row>
    <row r="6" spans="1:7" x14ac:dyDescent="0.2">
      <c r="A6" s="7" t="s">
        <v>0</v>
      </c>
    </row>
    <row r="7" spans="1:7" x14ac:dyDescent="0.2">
      <c r="A7" t="s">
        <v>1</v>
      </c>
      <c r="C7">
        <v>54239.421743877552</v>
      </c>
    </row>
    <row r="8" spans="1:7" x14ac:dyDescent="0.2">
      <c r="A8" t="s">
        <v>2</v>
      </c>
      <c r="C8">
        <f>D4</f>
        <v>16.681789999999999</v>
      </c>
    </row>
    <row r="10" spans="1:7" ht="13.5" thickBot="1" x14ac:dyDescent="0.25">
      <c r="A10" s="25"/>
      <c r="C10" s="6" t="s">
        <v>30</v>
      </c>
      <c r="D10" s="6" t="s">
        <v>31</v>
      </c>
    </row>
    <row r="11" spans="1:7" x14ac:dyDescent="0.2">
      <c r="A11" t="s">
        <v>13</v>
      </c>
      <c r="C11" s="14">
        <f>INTERCEPT(S21:S$935,$F21:$F$935)</f>
        <v>-4.5080395806207464E-2</v>
      </c>
      <c r="D11" s="14">
        <f>SLOPE(S21:S$935,$F21:$F$935)</f>
        <v>-9.239415752306833E-5</v>
      </c>
    </row>
    <row r="12" spans="1:7" x14ac:dyDescent="0.2">
      <c r="A12" t="s">
        <v>14</v>
      </c>
      <c r="C12" s="14">
        <f>INTERCEPT(T21:T$935,$F21:$F$935)</f>
        <v>0.51558167948088873</v>
      </c>
      <c r="D12" s="14">
        <f>SLOPE(T21:T$935,$F21:$F$935)</f>
        <v>1.3349632463108105E-6</v>
      </c>
      <c r="F12" s="47" t="s">
        <v>152</v>
      </c>
      <c r="G12" s="48">
        <v>1</v>
      </c>
    </row>
    <row r="13" spans="1:7" x14ac:dyDescent="0.2">
      <c r="A13" t="s">
        <v>151</v>
      </c>
      <c r="C13" s="46">
        <f>COUNT(C21:C2197)</f>
        <v>33</v>
      </c>
      <c r="D13" s="5"/>
      <c r="F13" s="47" t="s">
        <v>153</v>
      </c>
      <c r="G13" s="49">
        <f ca="1">NOW()+15018.5+$C$5/24</f>
        <v>60344.73130219907</v>
      </c>
    </row>
    <row r="14" spans="1:7" x14ac:dyDescent="0.2">
      <c r="C14" t="s">
        <v>32</v>
      </c>
      <c r="F14" s="47" t="s">
        <v>154</v>
      </c>
      <c r="G14" s="50">
        <f ca="1">ROUND(2*(G13-$C$7)/$C$8,0)/2+G12</f>
        <v>367</v>
      </c>
    </row>
    <row r="15" spans="1:7" x14ac:dyDescent="0.2">
      <c r="A15" t="s">
        <v>13</v>
      </c>
      <c r="C15" s="15">
        <f>($C3+C11)+($C8+D11)*INT(MAX($F21:$F3533))</f>
        <v>55073.461543773868</v>
      </c>
      <c r="D15" s="16">
        <f>+$D3+D11</f>
        <v>16.68173719767919</v>
      </c>
      <c r="F15" s="47" t="s">
        <v>155</v>
      </c>
      <c r="G15" s="14">
        <f ca="1">ROUND(2*(G13-$C$15)/$C$16,0)/2+G12</f>
        <v>1</v>
      </c>
    </row>
    <row r="16" spans="1:7" x14ac:dyDescent="0.2">
      <c r="A16" t="s">
        <v>14</v>
      </c>
      <c r="C16" s="15">
        <f>($C4+C12)+($C8+D12)*INT(MAX($F21:$F3533))</f>
        <v>53347.975148427642</v>
      </c>
      <c r="D16" s="14">
        <f>+$D4+D12</f>
        <v>16.681791334963247</v>
      </c>
      <c r="F16" s="47" t="s">
        <v>156</v>
      </c>
      <c r="G16" s="51">
        <f ca="1">+$C$15+$C$16*G15-15018.5-$C$5/24</f>
        <v>93403.332525534832</v>
      </c>
    </row>
    <row r="17" spans="1:20" ht="13.5" thickBot="1" x14ac:dyDescent="0.25">
      <c r="A17" s="13"/>
      <c r="C17" t="s">
        <v>33</v>
      </c>
      <c r="G17" s="52" t="s">
        <v>157</v>
      </c>
    </row>
    <row r="18" spans="1:20" ht="14.25" thickTop="1" thickBot="1" x14ac:dyDescent="0.25">
      <c r="A18" s="7" t="s">
        <v>16</v>
      </c>
      <c r="C18" s="3">
        <f>+C15</f>
        <v>55073.461543773868</v>
      </c>
      <c r="D18" s="4">
        <f>+D15</f>
        <v>16.68173719767919</v>
      </c>
      <c r="E18">
        <f>S19</f>
        <v>19</v>
      </c>
    </row>
    <row r="19" spans="1:20" ht="14.25" thickTop="1" thickBot="1" x14ac:dyDescent="0.25">
      <c r="A19" s="7" t="s">
        <v>17</v>
      </c>
      <c r="C19" s="3">
        <f>+C16</f>
        <v>53347.975148427642</v>
      </c>
      <c r="D19" s="4">
        <f>+D16</f>
        <v>16.681791334963247</v>
      </c>
      <c r="E19">
        <f>T19</f>
        <v>14</v>
      </c>
      <c r="S19">
        <f>COUNT(S21:S322)</f>
        <v>19</v>
      </c>
      <c r="T19">
        <f>COUNT(T21:T322)</f>
        <v>14</v>
      </c>
    </row>
    <row r="20" spans="1:20" ht="14.25" thickTop="1" thickBot="1" x14ac:dyDescent="0.25">
      <c r="A20" s="6" t="s">
        <v>3</v>
      </c>
      <c r="B20" s="6" t="s">
        <v>4</v>
      </c>
      <c r="C20" s="6" t="s">
        <v>5</v>
      </c>
      <c r="D20" s="6" t="s">
        <v>9</v>
      </c>
      <c r="E20" s="6" t="s">
        <v>6</v>
      </c>
      <c r="F20" s="6" t="s">
        <v>7</v>
      </c>
      <c r="G20" s="6" t="s">
        <v>8</v>
      </c>
      <c r="H20" s="9" t="s">
        <v>41</v>
      </c>
      <c r="I20" s="9" t="s">
        <v>44</v>
      </c>
      <c r="J20" s="9" t="s">
        <v>38</v>
      </c>
      <c r="K20" s="9" t="s">
        <v>36</v>
      </c>
      <c r="L20" s="9" t="s">
        <v>20</v>
      </c>
      <c r="M20" s="9" t="s">
        <v>12</v>
      </c>
      <c r="N20" s="9" t="s">
        <v>15</v>
      </c>
      <c r="O20" s="9" t="s">
        <v>18</v>
      </c>
      <c r="P20" s="8" t="s">
        <v>19</v>
      </c>
      <c r="Q20" s="6" t="s">
        <v>10</v>
      </c>
      <c r="R20" s="6"/>
      <c r="S20" s="10" t="s">
        <v>13</v>
      </c>
      <c r="T20" s="10" t="s">
        <v>14</v>
      </c>
    </row>
    <row r="21" spans="1:20" x14ac:dyDescent="0.2">
      <c r="A21" s="45" t="s">
        <v>50</v>
      </c>
      <c r="B21" s="40" t="s">
        <v>25</v>
      </c>
      <c r="C21" s="41">
        <v>26189.539000000001</v>
      </c>
      <c r="D21" s="41" t="s">
        <v>44</v>
      </c>
      <c r="E21">
        <f t="shared" ref="E21:E53" si="0">+(C21-C$7)/C$8</f>
        <v>-1681.4672012941987</v>
      </c>
      <c r="F21">
        <f t="shared" ref="F21:F53" si="1">ROUND(2*E21,0)/2</f>
        <v>-1681.5</v>
      </c>
      <c r="G21">
        <f t="shared" ref="G21:G53" si="2">+C21-(C$7+F21*C$8)</f>
        <v>0.54714112244619173</v>
      </c>
      <c r="H21">
        <f t="shared" ref="H21:H46" si="3">+G21</f>
        <v>0.54714112244619173</v>
      </c>
      <c r="O21">
        <f t="shared" ref="O21:O53" si="4">+C$11+D$11*$F21</f>
        <v>0.11028038006883195</v>
      </c>
      <c r="P21">
        <f t="shared" ref="P21:P53" si="5">+C$12+D$12*$F21</f>
        <v>0.51333693878221709</v>
      </c>
      <c r="Q21" s="2">
        <f t="shared" ref="Q21:Q53" si="6">+C21-15018.5</f>
        <v>11171.039000000001</v>
      </c>
      <c r="R21" s="2"/>
      <c r="T21">
        <f>G21</f>
        <v>0.54714112244619173</v>
      </c>
    </row>
    <row r="22" spans="1:20" x14ac:dyDescent="0.2">
      <c r="A22" s="41" t="s">
        <v>50</v>
      </c>
      <c r="B22" s="40" t="s">
        <v>24</v>
      </c>
      <c r="C22" s="41">
        <v>26631.295999999998</v>
      </c>
      <c r="D22" s="41" t="s">
        <v>44</v>
      </c>
      <c r="E22">
        <f t="shared" si="0"/>
        <v>-1654.985810508198</v>
      </c>
      <c r="F22">
        <f t="shared" si="1"/>
        <v>-1655</v>
      </c>
      <c r="G22">
        <f t="shared" si="2"/>
        <v>0.23670612244677613</v>
      </c>
      <c r="H22">
        <f t="shared" si="3"/>
        <v>0.23670612244677613</v>
      </c>
      <c r="O22">
        <f t="shared" si="4"/>
        <v>0.10783193489447063</v>
      </c>
      <c r="P22">
        <f t="shared" si="5"/>
        <v>0.51337231530824434</v>
      </c>
      <c r="Q22" s="2">
        <f t="shared" si="6"/>
        <v>11612.795999999998</v>
      </c>
      <c r="R22" s="2"/>
      <c r="S22">
        <f>G22</f>
        <v>0.23670612244677613</v>
      </c>
    </row>
    <row r="23" spans="1:20" x14ac:dyDescent="0.2">
      <c r="A23" s="41" t="s">
        <v>50</v>
      </c>
      <c r="B23" s="40" t="s">
        <v>24</v>
      </c>
      <c r="C23" s="41">
        <v>27298.495999999999</v>
      </c>
      <c r="D23" s="41" t="s">
        <v>44</v>
      </c>
      <c r="E23">
        <f t="shared" si="0"/>
        <v>-1614.9901026135417</v>
      </c>
      <c r="F23">
        <f t="shared" si="1"/>
        <v>-1615</v>
      </c>
      <c r="G23">
        <f t="shared" si="2"/>
        <v>0.16510612244746881</v>
      </c>
      <c r="H23">
        <f t="shared" si="3"/>
        <v>0.16510612244746881</v>
      </c>
      <c r="O23">
        <f t="shared" si="4"/>
        <v>0.10413616859354791</v>
      </c>
      <c r="P23">
        <f t="shared" si="5"/>
        <v>0.51342571383809676</v>
      </c>
      <c r="Q23" s="2">
        <f t="shared" si="6"/>
        <v>12279.995999999999</v>
      </c>
      <c r="R23" s="2"/>
      <c r="S23">
        <f>G23</f>
        <v>0.16510612244746881</v>
      </c>
    </row>
    <row r="24" spans="1:20" x14ac:dyDescent="0.2">
      <c r="A24" s="44" t="s">
        <v>61</v>
      </c>
      <c r="B24" s="43" t="s">
        <v>25</v>
      </c>
      <c r="C24" s="42">
        <v>28391.458999999999</v>
      </c>
      <c r="D24" s="42" t="s">
        <v>44</v>
      </c>
      <c r="E24">
        <f t="shared" si="0"/>
        <v>-1549.4717739449757</v>
      </c>
      <c r="F24">
        <f t="shared" si="1"/>
        <v>-1549.5</v>
      </c>
      <c r="G24">
        <f t="shared" si="2"/>
        <v>0.47086112244505784</v>
      </c>
      <c r="H24">
        <f t="shared" si="3"/>
        <v>0.47086112244505784</v>
      </c>
      <c r="O24">
        <f t="shared" si="4"/>
        <v>9.8084351275786907E-2</v>
      </c>
      <c r="P24">
        <f t="shared" si="5"/>
        <v>0.51351315393073016</v>
      </c>
      <c r="Q24" s="2">
        <f t="shared" si="6"/>
        <v>13372.958999999999</v>
      </c>
      <c r="R24" s="2"/>
      <c r="T24">
        <f>G24</f>
        <v>0.47086112244505784</v>
      </c>
    </row>
    <row r="25" spans="1:20" x14ac:dyDescent="0.2">
      <c r="A25" s="45" t="s">
        <v>66</v>
      </c>
      <c r="B25" s="40" t="s">
        <v>25</v>
      </c>
      <c r="C25" s="41">
        <v>30793.65</v>
      </c>
      <c r="D25" s="41" t="s">
        <v>44</v>
      </c>
      <c r="E25">
        <f t="shared" si="0"/>
        <v>-1405.4709802651605</v>
      </c>
      <c r="F25">
        <f t="shared" si="1"/>
        <v>-1405.5</v>
      </c>
      <c r="G25">
        <f t="shared" si="2"/>
        <v>0.48410112244891934</v>
      </c>
      <c r="H25">
        <f t="shared" si="3"/>
        <v>0.48410112244891934</v>
      </c>
      <c r="O25">
        <f t="shared" si="4"/>
        <v>8.4779592592465092E-2</v>
      </c>
      <c r="P25">
        <f t="shared" si="5"/>
        <v>0.51370538863819892</v>
      </c>
      <c r="Q25" s="2">
        <f t="shared" si="6"/>
        <v>15775.150000000001</v>
      </c>
      <c r="R25" s="2"/>
      <c r="T25">
        <f>G25</f>
        <v>0.48410112244891934</v>
      </c>
    </row>
    <row r="26" spans="1:20" x14ac:dyDescent="0.2">
      <c r="A26" s="44" t="s">
        <v>66</v>
      </c>
      <c r="B26" s="43" t="s">
        <v>25</v>
      </c>
      <c r="C26" s="41">
        <v>31327.47</v>
      </c>
      <c r="D26" s="41" t="s">
        <v>44</v>
      </c>
      <c r="E26">
        <f t="shared" si="0"/>
        <v>-1373.4708172131138</v>
      </c>
      <c r="F26">
        <f t="shared" si="1"/>
        <v>-1373.5</v>
      </c>
      <c r="G26">
        <f t="shared" si="2"/>
        <v>0.48682112244932796</v>
      </c>
      <c r="H26">
        <f t="shared" si="3"/>
        <v>0.48682112244932796</v>
      </c>
      <c r="O26">
        <f t="shared" si="4"/>
        <v>8.1822979551726904E-2</v>
      </c>
      <c r="P26">
        <f t="shared" si="5"/>
        <v>0.51374810746208088</v>
      </c>
      <c r="Q26" s="2">
        <f t="shared" si="6"/>
        <v>16308.970000000001</v>
      </c>
      <c r="R26" s="2"/>
      <c r="T26">
        <f>G26</f>
        <v>0.48682112244932796</v>
      </c>
    </row>
    <row r="27" spans="1:20" x14ac:dyDescent="0.2">
      <c r="A27" s="44" t="s">
        <v>66</v>
      </c>
      <c r="B27" s="43" t="s">
        <v>24</v>
      </c>
      <c r="C27" s="41">
        <v>31585.53</v>
      </c>
      <c r="D27" s="41" t="s">
        <v>44</v>
      </c>
      <c r="E27">
        <f t="shared" si="0"/>
        <v>-1358.0012542945065</v>
      </c>
      <c r="F27">
        <f t="shared" si="1"/>
        <v>-1358</v>
      </c>
      <c r="G27">
        <f t="shared" si="2"/>
        <v>-2.0923877553286729E-2</v>
      </c>
      <c r="H27">
        <f t="shared" si="3"/>
        <v>-2.0923877553286729E-2</v>
      </c>
      <c r="O27">
        <f t="shared" si="4"/>
        <v>8.0390870110119333E-2</v>
      </c>
      <c r="P27">
        <f t="shared" si="5"/>
        <v>0.51376879939239861</v>
      </c>
      <c r="Q27" s="2">
        <f t="shared" si="6"/>
        <v>16567.03</v>
      </c>
      <c r="R27" s="2"/>
      <c r="S27">
        <f>G27</f>
        <v>-2.0923877553286729E-2</v>
      </c>
    </row>
    <row r="28" spans="1:20" x14ac:dyDescent="0.2">
      <c r="A28" s="44" t="s">
        <v>66</v>
      </c>
      <c r="B28" s="40" t="s">
        <v>24</v>
      </c>
      <c r="C28" s="41">
        <v>34221.449999999997</v>
      </c>
      <c r="D28" s="41" t="s">
        <v>44</v>
      </c>
      <c r="E28">
        <f t="shared" si="0"/>
        <v>-1199.9894342200421</v>
      </c>
      <c r="F28">
        <f t="shared" si="1"/>
        <v>-1200</v>
      </c>
      <c r="G28">
        <f t="shared" si="2"/>
        <v>0.17625612244592048</v>
      </c>
      <c r="H28">
        <f t="shared" si="3"/>
        <v>0.17625612244592048</v>
      </c>
      <c r="O28">
        <f t="shared" si="4"/>
        <v>6.5792593221474543E-2</v>
      </c>
      <c r="P28">
        <f t="shared" si="5"/>
        <v>0.51397972358531574</v>
      </c>
      <c r="Q28" s="2">
        <f t="shared" si="6"/>
        <v>19202.949999999997</v>
      </c>
      <c r="R28" s="2"/>
      <c r="S28">
        <f>G28</f>
        <v>0.17625612244592048</v>
      </c>
    </row>
    <row r="29" spans="1:20" x14ac:dyDescent="0.2">
      <c r="A29" s="44" t="s">
        <v>66</v>
      </c>
      <c r="B29" s="40" t="s">
        <v>24</v>
      </c>
      <c r="C29" s="41">
        <v>34271.360000000001</v>
      </c>
      <c r="D29" s="41" t="s">
        <v>44</v>
      </c>
      <c r="E29">
        <f t="shared" si="0"/>
        <v>-1196.9975490566392</v>
      </c>
      <c r="F29">
        <f t="shared" si="1"/>
        <v>-1197</v>
      </c>
      <c r="G29">
        <f t="shared" si="2"/>
        <v>4.0886122442316264E-2</v>
      </c>
      <c r="H29">
        <f t="shared" si="3"/>
        <v>4.0886122442316264E-2</v>
      </c>
      <c r="O29">
        <f t="shared" si="4"/>
        <v>6.5515410748905323E-2</v>
      </c>
      <c r="P29">
        <f t="shared" si="5"/>
        <v>0.51398372847505469</v>
      </c>
      <c r="Q29" s="2">
        <f t="shared" si="6"/>
        <v>19252.86</v>
      </c>
      <c r="R29" s="2"/>
      <c r="S29">
        <f>G29</f>
        <v>4.0886122442316264E-2</v>
      </c>
    </row>
    <row r="30" spans="1:20" x14ac:dyDescent="0.2">
      <c r="A30" s="44" t="s">
        <v>66</v>
      </c>
      <c r="B30" s="40" t="s">
        <v>24</v>
      </c>
      <c r="C30" s="41">
        <v>36790.449999999997</v>
      </c>
      <c r="D30" s="41" t="s">
        <v>44</v>
      </c>
      <c r="E30">
        <f t="shared" si="0"/>
        <v>-1045.9891740561147</v>
      </c>
      <c r="F30">
        <f t="shared" si="1"/>
        <v>-1046</v>
      </c>
      <c r="G30">
        <f t="shared" si="2"/>
        <v>0.18059612244542222</v>
      </c>
      <c r="H30">
        <f t="shared" si="3"/>
        <v>0.18059612244542222</v>
      </c>
      <c r="O30">
        <f t="shared" si="4"/>
        <v>5.1563892962922013E-2</v>
      </c>
      <c r="P30">
        <f t="shared" si="5"/>
        <v>0.51418530792524764</v>
      </c>
      <c r="Q30" s="2">
        <f t="shared" si="6"/>
        <v>21771.949999999997</v>
      </c>
      <c r="R30" s="2"/>
      <c r="S30">
        <f>G30</f>
        <v>0.18059612244542222</v>
      </c>
    </row>
    <row r="31" spans="1:20" x14ac:dyDescent="0.2">
      <c r="A31" s="41" t="s">
        <v>66</v>
      </c>
      <c r="B31" s="40" t="s">
        <v>24</v>
      </c>
      <c r="C31" s="41">
        <v>36840.35</v>
      </c>
      <c r="D31" s="41" t="s">
        <v>44</v>
      </c>
      <c r="E31">
        <f t="shared" si="0"/>
        <v>-1042.9978883487656</v>
      </c>
      <c r="F31">
        <f t="shared" si="1"/>
        <v>-1043</v>
      </c>
      <c r="G31">
        <f t="shared" si="2"/>
        <v>3.5226122447056696E-2</v>
      </c>
      <c r="H31">
        <f t="shared" si="3"/>
        <v>3.5226122447056696E-2</v>
      </c>
      <c r="O31">
        <f t="shared" si="4"/>
        <v>5.1286710490352806E-2</v>
      </c>
      <c r="P31">
        <f t="shared" si="5"/>
        <v>0.51418931281498659</v>
      </c>
      <c r="Q31" s="2">
        <f t="shared" si="6"/>
        <v>21821.85</v>
      </c>
      <c r="R31" s="2"/>
      <c r="S31">
        <f>G31</f>
        <v>3.5226122447056696E-2</v>
      </c>
    </row>
    <row r="32" spans="1:20" x14ac:dyDescent="0.2">
      <c r="A32" s="41" t="s">
        <v>66</v>
      </c>
      <c r="B32" s="40" t="s">
        <v>25</v>
      </c>
      <c r="C32" s="41">
        <v>36899.24</v>
      </c>
      <c r="D32" s="41" t="s">
        <v>44</v>
      </c>
      <c r="E32">
        <f t="shared" si="0"/>
        <v>-1039.4676916492508</v>
      </c>
      <c r="F32">
        <f t="shared" si="1"/>
        <v>-1039.5</v>
      </c>
      <c r="G32">
        <f t="shared" si="2"/>
        <v>0.53896112244547112</v>
      </c>
      <c r="H32">
        <f t="shared" si="3"/>
        <v>0.53896112244547112</v>
      </c>
      <c r="O32">
        <f t="shared" si="4"/>
        <v>5.0963330939022063E-2</v>
      </c>
      <c r="P32">
        <f t="shared" si="5"/>
        <v>0.51419398518634862</v>
      </c>
      <c r="Q32" s="2">
        <f t="shared" si="6"/>
        <v>21880.739999999998</v>
      </c>
      <c r="R32" s="2"/>
      <c r="T32">
        <f>G32</f>
        <v>0.53896112244547112</v>
      </c>
    </row>
    <row r="33" spans="1:20" x14ac:dyDescent="0.2">
      <c r="A33" s="41" t="s">
        <v>66</v>
      </c>
      <c r="B33" s="40" t="s">
        <v>24</v>
      </c>
      <c r="C33" s="41">
        <v>37824.449999999997</v>
      </c>
      <c r="D33" s="41" t="s">
        <v>44</v>
      </c>
      <c r="E33">
        <f t="shared" si="0"/>
        <v>-984.00541811625465</v>
      </c>
      <c r="F33">
        <f t="shared" si="1"/>
        <v>-984</v>
      </c>
      <c r="G33">
        <f t="shared" si="2"/>
        <v>-9.0383877555723302E-2</v>
      </c>
      <c r="H33">
        <f t="shared" si="3"/>
        <v>-9.0383877555723302E-2</v>
      </c>
      <c r="O33">
        <f t="shared" si="4"/>
        <v>4.5835455196491771E-2</v>
      </c>
      <c r="P33">
        <f t="shared" si="5"/>
        <v>0.51426807564651889</v>
      </c>
      <c r="Q33" s="2">
        <f t="shared" si="6"/>
        <v>22805.949999999997</v>
      </c>
      <c r="R33" s="2"/>
      <c r="S33">
        <f>G33</f>
        <v>-9.0383877555723302E-2</v>
      </c>
    </row>
    <row r="34" spans="1:20" x14ac:dyDescent="0.2">
      <c r="A34" s="41" t="s">
        <v>66</v>
      </c>
      <c r="B34" s="40" t="s">
        <v>25</v>
      </c>
      <c r="C34" s="41">
        <v>37883.43</v>
      </c>
      <c r="D34" s="41" t="s">
        <v>44</v>
      </c>
      <c r="E34">
        <f t="shared" si="0"/>
        <v>-980.4698263122574</v>
      </c>
      <c r="F34">
        <f t="shared" si="1"/>
        <v>-980.5</v>
      </c>
      <c r="G34">
        <f t="shared" si="2"/>
        <v>0.50335112244647462</v>
      </c>
      <c r="H34">
        <f t="shared" si="3"/>
        <v>0.50335112244647462</v>
      </c>
      <c r="O34">
        <f t="shared" si="4"/>
        <v>4.5512075645161028E-2</v>
      </c>
      <c r="P34">
        <f t="shared" si="5"/>
        <v>0.51427274801788103</v>
      </c>
      <c r="Q34" s="2">
        <f t="shared" si="6"/>
        <v>22864.93</v>
      </c>
      <c r="R34" s="2"/>
      <c r="T34">
        <f>G34</f>
        <v>0.50335112244647462</v>
      </c>
    </row>
    <row r="35" spans="1:20" x14ac:dyDescent="0.2">
      <c r="A35" s="41" t="s">
        <v>66</v>
      </c>
      <c r="B35" s="40" t="s">
        <v>24</v>
      </c>
      <c r="C35" s="41">
        <v>37941.449999999997</v>
      </c>
      <c r="D35" s="41" t="s">
        <v>44</v>
      </c>
      <c r="E35">
        <f t="shared" si="0"/>
        <v>-976.99178228940389</v>
      </c>
      <c r="F35">
        <f t="shared" si="1"/>
        <v>-977</v>
      </c>
      <c r="G35">
        <f t="shared" si="2"/>
        <v>0.1370861224422697</v>
      </c>
      <c r="H35">
        <f t="shared" si="3"/>
        <v>0.1370861224422697</v>
      </c>
      <c r="O35">
        <f t="shared" si="4"/>
        <v>4.5188696093830298E-2</v>
      </c>
      <c r="P35">
        <f t="shared" si="5"/>
        <v>0.51427742038924307</v>
      </c>
      <c r="Q35" s="2">
        <f t="shared" si="6"/>
        <v>22922.949999999997</v>
      </c>
      <c r="R35" s="2"/>
      <c r="S35">
        <f>G35</f>
        <v>0.1370861224422697</v>
      </c>
    </row>
    <row r="36" spans="1:20" x14ac:dyDescent="0.2">
      <c r="A36" s="41" t="s">
        <v>66</v>
      </c>
      <c r="B36" s="40" t="s">
        <v>25</v>
      </c>
      <c r="C36" s="41">
        <v>38050.25</v>
      </c>
      <c r="D36" s="41" t="s">
        <v>44</v>
      </c>
      <c r="E36">
        <f t="shared" si="0"/>
        <v>-970.46970042648616</v>
      </c>
      <c r="F36">
        <f t="shared" si="1"/>
        <v>-970.5</v>
      </c>
      <c r="G36">
        <f t="shared" si="2"/>
        <v>0.50545112244435586</v>
      </c>
      <c r="H36">
        <f t="shared" si="3"/>
        <v>0.50545112244435586</v>
      </c>
      <c r="O36">
        <f t="shared" si="4"/>
        <v>4.4588134069930348E-2</v>
      </c>
      <c r="P36">
        <f t="shared" si="5"/>
        <v>0.51428609765034405</v>
      </c>
      <c r="Q36" s="2">
        <f t="shared" si="6"/>
        <v>23031.75</v>
      </c>
      <c r="R36" s="2"/>
      <c r="T36">
        <f>G36</f>
        <v>0.50545112244435586</v>
      </c>
    </row>
    <row r="37" spans="1:20" x14ac:dyDescent="0.2">
      <c r="A37" s="41" t="s">
        <v>66</v>
      </c>
      <c r="B37" s="40" t="s">
        <v>24</v>
      </c>
      <c r="C37" s="41">
        <v>38091.67</v>
      </c>
      <c r="D37" s="41" t="s">
        <v>44</v>
      </c>
      <c r="E37">
        <f t="shared" si="0"/>
        <v>-967.98675345257038</v>
      </c>
      <c r="F37">
        <f t="shared" si="1"/>
        <v>-968</v>
      </c>
      <c r="G37">
        <f t="shared" si="2"/>
        <v>0.22097612244397169</v>
      </c>
      <c r="H37">
        <f t="shared" si="3"/>
        <v>0.22097612244397169</v>
      </c>
      <c r="O37">
        <f t="shared" si="4"/>
        <v>4.4357148676122678E-2</v>
      </c>
      <c r="P37">
        <f t="shared" si="5"/>
        <v>0.51428943505845992</v>
      </c>
      <c r="Q37" s="2">
        <f t="shared" si="6"/>
        <v>23073.17</v>
      </c>
      <c r="R37" s="2"/>
      <c r="S37">
        <f>G37</f>
        <v>0.22097612244397169</v>
      </c>
    </row>
    <row r="38" spans="1:20" x14ac:dyDescent="0.2">
      <c r="A38" s="41" t="s">
        <v>66</v>
      </c>
      <c r="B38" s="40" t="s">
        <v>25</v>
      </c>
      <c r="C38" s="41">
        <v>38300.47</v>
      </c>
      <c r="D38" s="41" t="s">
        <v>44</v>
      </c>
      <c r="E38">
        <f t="shared" si="0"/>
        <v>-955.47011105388276</v>
      </c>
      <c r="F38">
        <f t="shared" si="1"/>
        <v>-955.5</v>
      </c>
      <c r="G38">
        <f t="shared" si="2"/>
        <v>0.49860112244641641</v>
      </c>
      <c r="H38">
        <f t="shared" si="3"/>
        <v>0.49860112244641641</v>
      </c>
      <c r="O38">
        <f t="shared" si="4"/>
        <v>4.3202221707084328E-2</v>
      </c>
      <c r="P38">
        <f t="shared" si="5"/>
        <v>0.5143061220990387</v>
      </c>
      <c r="Q38" s="2">
        <f t="shared" si="6"/>
        <v>23281.97</v>
      </c>
      <c r="R38" s="2"/>
      <c r="T38">
        <f>G38</f>
        <v>0.49860112244641641</v>
      </c>
    </row>
    <row r="39" spans="1:20" x14ac:dyDescent="0.2">
      <c r="A39" s="41" t="s">
        <v>66</v>
      </c>
      <c r="B39" s="40" t="s">
        <v>24</v>
      </c>
      <c r="C39" s="41">
        <v>38558.480000000003</v>
      </c>
      <c r="D39" s="41" t="s">
        <v>44</v>
      </c>
      <c r="E39">
        <f t="shared" si="0"/>
        <v>-940.00354541554293</v>
      </c>
      <c r="F39">
        <f t="shared" si="1"/>
        <v>-940</v>
      </c>
      <c r="G39">
        <f t="shared" si="2"/>
        <v>-5.9143877551832702E-2</v>
      </c>
      <c r="H39">
        <f t="shared" si="3"/>
        <v>-5.9143877551832702E-2</v>
      </c>
      <c r="O39">
        <f t="shared" si="4"/>
        <v>4.1770112265476771E-2</v>
      </c>
      <c r="P39">
        <f t="shared" si="5"/>
        <v>0.51432681402935654</v>
      </c>
      <c r="Q39" s="2">
        <f t="shared" si="6"/>
        <v>23539.980000000003</v>
      </c>
      <c r="R39" s="2"/>
      <c r="S39">
        <f>G39</f>
        <v>-5.9143877551832702E-2</v>
      </c>
    </row>
    <row r="40" spans="1:20" x14ac:dyDescent="0.2">
      <c r="A40" s="41" t="s">
        <v>66</v>
      </c>
      <c r="B40" s="40" t="s">
        <v>25</v>
      </c>
      <c r="C40" s="41">
        <v>38817.67</v>
      </c>
      <c r="D40" s="41" t="s">
        <v>44</v>
      </c>
      <c r="E40">
        <f t="shared" si="0"/>
        <v>-924.46624396288132</v>
      </c>
      <c r="F40">
        <f t="shared" si="1"/>
        <v>-924.5</v>
      </c>
      <c r="G40">
        <f t="shared" si="2"/>
        <v>0.56311112244293327</v>
      </c>
      <c r="H40">
        <f t="shared" si="3"/>
        <v>0.56311112244293327</v>
      </c>
      <c r="O40">
        <f t="shared" si="4"/>
        <v>4.0338002823869214E-2</v>
      </c>
      <c r="P40">
        <f t="shared" si="5"/>
        <v>0.51434750595967438</v>
      </c>
      <c r="Q40" s="2">
        <f t="shared" si="6"/>
        <v>23799.17</v>
      </c>
      <c r="R40" s="2"/>
      <c r="T40">
        <f>G40</f>
        <v>0.56311112244293327</v>
      </c>
    </row>
    <row r="41" spans="1:20" x14ac:dyDescent="0.2">
      <c r="A41" s="41" t="s">
        <v>66</v>
      </c>
      <c r="B41" s="40" t="s">
        <v>24</v>
      </c>
      <c r="C41" s="41">
        <v>39025.42</v>
      </c>
      <c r="D41" s="41" t="s">
        <v>44</v>
      </c>
      <c r="E41">
        <f t="shared" si="0"/>
        <v>-912.01254444981953</v>
      </c>
      <c r="F41">
        <f t="shared" si="1"/>
        <v>-912</v>
      </c>
      <c r="G41">
        <f t="shared" si="2"/>
        <v>-0.20926387755025644</v>
      </c>
      <c r="H41">
        <f t="shared" si="3"/>
        <v>-0.20926387755025644</v>
      </c>
      <c r="O41">
        <f t="shared" si="4"/>
        <v>3.918307585483085E-2</v>
      </c>
      <c r="P41">
        <f t="shared" si="5"/>
        <v>0.51436419300025327</v>
      </c>
      <c r="Q41" s="2">
        <f t="shared" si="6"/>
        <v>24006.92</v>
      </c>
      <c r="R41" s="2"/>
      <c r="S41">
        <f>G41</f>
        <v>-0.20926387755025644</v>
      </c>
    </row>
    <row r="42" spans="1:20" x14ac:dyDescent="0.2">
      <c r="A42" s="41" t="s">
        <v>66</v>
      </c>
      <c r="B42" s="40" t="s">
        <v>24</v>
      </c>
      <c r="C42" s="41">
        <v>39142.28</v>
      </c>
      <c r="D42" s="41" t="s">
        <v>44</v>
      </c>
      <c r="E42">
        <f t="shared" si="0"/>
        <v>-905.00730100771887</v>
      </c>
      <c r="F42">
        <f t="shared" si="1"/>
        <v>-905</v>
      </c>
      <c r="G42">
        <f t="shared" si="2"/>
        <v>-0.12179387755168136</v>
      </c>
      <c r="H42">
        <f t="shared" si="3"/>
        <v>-0.12179387755168136</v>
      </c>
      <c r="O42">
        <f t="shared" si="4"/>
        <v>3.8536316752169376E-2</v>
      </c>
      <c r="P42">
        <f t="shared" si="5"/>
        <v>0.51437353774297745</v>
      </c>
      <c r="Q42" s="2">
        <f t="shared" si="6"/>
        <v>24123.78</v>
      </c>
      <c r="R42" s="2"/>
      <c r="S42">
        <f>G42</f>
        <v>-0.12179387755168136</v>
      </c>
    </row>
    <row r="43" spans="1:20" x14ac:dyDescent="0.2">
      <c r="A43" s="41" t="s">
        <v>66</v>
      </c>
      <c r="B43" s="40" t="s">
        <v>25</v>
      </c>
      <c r="C43" s="41">
        <v>39184.67</v>
      </c>
      <c r="D43" s="41" t="s">
        <v>44</v>
      </c>
      <c r="E43">
        <f t="shared" si="0"/>
        <v>-902.466206796606</v>
      </c>
      <c r="F43">
        <f t="shared" si="1"/>
        <v>-902.5</v>
      </c>
      <c r="G43">
        <f t="shared" si="2"/>
        <v>0.56373112244182266</v>
      </c>
      <c r="H43">
        <f t="shared" si="3"/>
        <v>0.56373112244182266</v>
      </c>
      <c r="O43">
        <f t="shared" si="4"/>
        <v>3.8305331358361706E-2</v>
      </c>
      <c r="P43">
        <f t="shared" si="5"/>
        <v>0.5143768751510932</v>
      </c>
      <c r="Q43" s="2">
        <f t="shared" si="6"/>
        <v>24166.17</v>
      </c>
      <c r="R43" s="2"/>
      <c r="T43">
        <f>G43</f>
        <v>0.56373112244182266</v>
      </c>
    </row>
    <row r="44" spans="1:20" x14ac:dyDescent="0.2">
      <c r="A44" s="41" t="s">
        <v>66</v>
      </c>
      <c r="B44" s="40" t="s">
        <v>24</v>
      </c>
      <c r="C44" s="41">
        <v>39242.58</v>
      </c>
      <c r="D44" s="41" t="s">
        <v>44</v>
      </c>
      <c r="E44">
        <f t="shared" si="0"/>
        <v>-898.99475679034151</v>
      </c>
      <c r="F44">
        <f t="shared" si="1"/>
        <v>-899</v>
      </c>
      <c r="G44">
        <f t="shared" si="2"/>
        <v>8.746612245158758E-2</v>
      </c>
      <c r="H44">
        <f t="shared" si="3"/>
        <v>8.746612245158758E-2</v>
      </c>
      <c r="O44">
        <f t="shared" si="4"/>
        <v>3.7981951807030963E-2</v>
      </c>
      <c r="P44">
        <f t="shared" si="5"/>
        <v>0.51438154752245535</v>
      </c>
      <c r="Q44" s="2">
        <f t="shared" si="6"/>
        <v>24224.080000000002</v>
      </c>
      <c r="R44" s="2"/>
      <c r="S44">
        <f>G44</f>
        <v>8.746612245158758E-2</v>
      </c>
    </row>
    <row r="45" spans="1:20" x14ac:dyDescent="0.2">
      <c r="A45" s="41" t="s">
        <v>66</v>
      </c>
      <c r="B45" s="40" t="s">
        <v>25</v>
      </c>
      <c r="C45" s="41">
        <v>39351.449999999997</v>
      </c>
      <c r="D45" s="41" t="s">
        <v>44</v>
      </c>
      <c r="E45">
        <f t="shared" si="0"/>
        <v>-892.46847873504919</v>
      </c>
      <c r="F45">
        <f t="shared" si="1"/>
        <v>-892.5</v>
      </c>
      <c r="G45">
        <f t="shared" si="2"/>
        <v>0.52583112244610675</v>
      </c>
      <c r="H45">
        <f t="shared" si="3"/>
        <v>0.52583112244610675</v>
      </c>
      <c r="O45">
        <f t="shared" si="4"/>
        <v>3.7381389783131026E-2</v>
      </c>
      <c r="P45">
        <f t="shared" si="5"/>
        <v>0.51439022478355634</v>
      </c>
      <c r="Q45" s="2">
        <f t="shared" si="6"/>
        <v>24332.949999999997</v>
      </c>
      <c r="R45" s="2"/>
      <c r="T45">
        <f>G45</f>
        <v>0.52583112244610675</v>
      </c>
    </row>
    <row r="46" spans="1:20" x14ac:dyDescent="0.2">
      <c r="A46" s="41" t="s">
        <v>66</v>
      </c>
      <c r="B46" s="40" t="s">
        <v>24</v>
      </c>
      <c r="C46" s="41">
        <v>39709.5</v>
      </c>
      <c r="D46" s="41" t="s">
        <v>44</v>
      </c>
      <c r="E46">
        <f t="shared" si="0"/>
        <v>-871.00495473672504</v>
      </c>
      <c r="F46">
        <f t="shared" si="1"/>
        <v>-871</v>
      </c>
      <c r="G46">
        <f t="shared" si="2"/>
        <v>-8.2653877550910693E-2</v>
      </c>
      <c r="H46">
        <f t="shared" si="3"/>
        <v>-8.2653877550910693E-2</v>
      </c>
      <c r="O46">
        <f t="shared" si="4"/>
        <v>3.5394915396385056E-2</v>
      </c>
      <c r="P46">
        <f t="shared" si="5"/>
        <v>0.51441892649335197</v>
      </c>
      <c r="Q46" s="2">
        <f t="shared" si="6"/>
        <v>24691</v>
      </c>
      <c r="R46" s="2"/>
      <c r="S46">
        <f>G46</f>
        <v>-8.2653877550910693E-2</v>
      </c>
    </row>
    <row r="47" spans="1:20" x14ac:dyDescent="0.2">
      <c r="A47" s="20" t="s">
        <v>27</v>
      </c>
      <c r="B47" s="21" t="s">
        <v>25</v>
      </c>
      <c r="C47" s="20">
        <v>50661.675999999999</v>
      </c>
      <c r="D47" s="20">
        <v>1E-3</v>
      </c>
      <c r="E47">
        <f t="shared" si="0"/>
        <v>-214.47013443266897</v>
      </c>
      <c r="F47">
        <f t="shared" si="1"/>
        <v>-214.5</v>
      </c>
      <c r="G47">
        <f t="shared" si="2"/>
        <v>0.4982111224453547</v>
      </c>
      <c r="K47">
        <f>+G47</f>
        <v>0.4982111224453547</v>
      </c>
      <c r="O47">
        <f t="shared" si="4"/>
        <v>-2.5261849017509306E-2</v>
      </c>
      <c r="P47">
        <f t="shared" si="5"/>
        <v>0.51529532986455506</v>
      </c>
      <c r="Q47" s="2">
        <f t="shared" si="6"/>
        <v>35643.175999999999</v>
      </c>
      <c r="R47" s="2" t="s">
        <v>36</v>
      </c>
      <c r="T47">
        <f>G47</f>
        <v>0.4982111224453547</v>
      </c>
    </row>
    <row r="48" spans="1:20" x14ac:dyDescent="0.2">
      <c r="A48" s="22" t="s">
        <v>28</v>
      </c>
      <c r="B48" s="23" t="s">
        <v>24</v>
      </c>
      <c r="C48" s="22">
        <v>52504.51</v>
      </c>
      <c r="D48" s="20"/>
      <c r="E48">
        <f t="shared" si="0"/>
        <v>-104.00033472892</v>
      </c>
      <c r="F48">
        <f t="shared" si="1"/>
        <v>-104</v>
      </c>
      <c r="G48">
        <f t="shared" si="2"/>
        <v>-5.583877551543992E-3</v>
      </c>
      <c r="I48">
        <f>+G48</f>
        <v>-5.583877551543992E-3</v>
      </c>
      <c r="O48">
        <f t="shared" si="4"/>
        <v>-3.5471403423808362E-2</v>
      </c>
      <c r="P48">
        <f t="shared" si="5"/>
        <v>0.51544284330327239</v>
      </c>
      <c r="Q48" s="2">
        <f t="shared" si="6"/>
        <v>37486.01</v>
      </c>
      <c r="R48" s="2" t="e">
        <v>#N/A</v>
      </c>
      <c r="S48">
        <f>G48</f>
        <v>-5.583877551543992E-3</v>
      </c>
    </row>
    <row r="49" spans="1:20" x14ac:dyDescent="0.2">
      <c r="A49" s="22" t="s">
        <v>28</v>
      </c>
      <c r="B49" s="5" t="s">
        <v>25</v>
      </c>
      <c r="C49" s="11">
        <v>52513.37</v>
      </c>
      <c r="D49" s="12"/>
      <c r="E49">
        <f t="shared" si="0"/>
        <v>-103.46921666545074</v>
      </c>
      <c r="F49">
        <f t="shared" si="1"/>
        <v>-103.5</v>
      </c>
      <c r="G49">
        <f t="shared" si="2"/>
        <v>0.5135211224478553</v>
      </c>
      <c r="I49">
        <f>+G49</f>
        <v>0.5135211224478553</v>
      </c>
      <c r="O49">
        <f t="shared" si="4"/>
        <v>-3.5517600502569892E-2</v>
      </c>
      <c r="P49">
        <f t="shared" si="5"/>
        <v>0.51544351078489559</v>
      </c>
      <c r="Q49" s="2">
        <f t="shared" si="6"/>
        <v>37494.870000000003</v>
      </c>
      <c r="R49" s="2" t="e">
        <v>#N/A</v>
      </c>
      <c r="T49">
        <f>G49</f>
        <v>0.5135211224478553</v>
      </c>
    </row>
    <row r="50" spans="1:20" x14ac:dyDescent="0.2">
      <c r="A50" s="20" t="s">
        <v>27</v>
      </c>
      <c r="B50" s="21" t="s">
        <v>24</v>
      </c>
      <c r="C50" s="20">
        <v>53588.834300000002</v>
      </c>
      <c r="D50" s="20">
        <v>5.0000000000000001E-4</v>
      </c>
      <c r="E50">
        <f t="shared" si="0"/>
        <v>-38.99985816135738</v>
      </c>
      <c r="F50">
        <f t="shared" si="1"/>
        <v>-39</v>
      </c>
      <c r="G50">
        <f t="shared" si="2"/>
        <v>2.3661224477109499E-3</v>
      </c>
      <c r="K50">
        <f>+G50</f>
        <v>2.3661224477109499E-3</v>
      </c>
      <c r="O50">
        <f t="shared" si="4"/>
        <v>-4.1477023662807797E-2</v>
      </c>
      <c r="P50">
        <f t="shared" si="5"/>
        <v>0.51552961591428259</v>
      </c>
      <c r="Q50" s="2">
        <f t="shared" si="6"/>
        <v>38570.334300000002</v>
      </c>
      <c r="R50" s="2" t="s">
        <v>36</v>
      </c>
      <c r="S50">
        <f>G50</f>
        <v>2.3661224477109499E-3</v>
      </c>
    </row>
    <row r="51" spans="1:20" x14ac:dyDescent="0.2">
      <c r="A51" s="20" t="s">
        <v>29</v>
      </c>
      <c r="B51" s="24"/>
      <c r="C51" s="20">
        <v>54239.419300000001</v>
      </c>
      <c r="D51" s="20">
        <v>5.9999999999999995E-4</v>
      </c>
      <c r="E51">
        <f t="shared" si="0"/>
        <v>-1.4649971920468549E-4</v>
      </c>
      <c r="F51">
        <f t="shared" si="1"/>
        <v>0</v>
      </c>
      <c r="G51">
        <f t="shared" si="2"/>
        <v>-2.4438775508315302E-3</v>
      </c>
      <c r="J51">
        <f>+G51</f>
        <v>-2.4438775508315302E-3</v>
      </c>
      <c r="O51">
        <f t="shared" si="4"/>
        <v>-4.5080395806207464E-2</v>
      </c>
      <c r="P51">
        <f t="shared" si="5"/>
        <v>0.51558167948088873</v>
      </c>
      <c r="Q51" s="2">
        <f t="shared" si="6"/>
        <v>39220.919300000001</v>
      </c>
      <c r="R51" s="2" t="s">
        <v>38</v>
      </c>
      <c r="S51">
        <f>G51</f>
        <v>-2.4438775508315302E-3</v>
      </c>
    </row>
    <row r="52" spans="1:20" x14ac:dyDescent="0.2">
      <c r="A52" s="41" t="s">
        <v>145</v>
      </c>
      <c r="B52" s="40" t="s">
        <v>25</v>
      </c>
      <c r="C52" s="41">
        <v>54715.353900000002</v>
      </c>
      <c r="D52" s="41" t="s">
        <v>44</v>
      </c>
      <c r="E52">
        <f t="shared" si="0"/>
        <v>28.530041207954884</v>
      </c>
      <c r="F52">
        <f t="shared" si="1"/>
        <v>28.5</v>
      </c>
      <c r="G52">
        <f t="shared" si="2"/>
        <v>0.50114112244773423</v>
      </c>
      <c r="K52">
        <f>+G52</f>
        <v>0.50114112244773423</v>
      </c>
      <c r="O52">
        <f t="shared" si="4"/>
        <v>-4.7713629295614915E-2</v>
      </c>
      <c r="P52">
        <f t="shared" si="5"/>
        <v>0.51561972593340855</v>
      </c>
      <c r="Q52" s="2">
        <f t="shared" si="6"/>
        <v>39696.853900000002</v>
      </c>
      <c r="R52" s="2"/>
      <c r="T52">
        <f>G52</f>
        <v>0.50114112244773423</v>
      </c>
    </row>
    <row r="53" spans="1:20" x14ac:dyDescent="0.2">
      <c r="A53" s="41" t="s">
        <v>150</v>
      </c>
      <c r="B53" s="40" t="s">
        <v>24</v>
      </c>
      <c r="C53" s="41">
        <v>55073.503799999999</v>
      </c>
      <c r="D53" s="41" t="s">
        <v>44</v>
      </c>
      <c r="E53">
        <f t="shared" si="0"/>
        <v>49.99955377225384</v>
      </c>
      <c r="F53">
        <f t="shared" si="1"/>
        <v>50</v>
      </c>
      <c r="G53">
        <f t="shared" si="2"/>
        <v>-7.4438775554881431E-3</v>
      </c>
      <c r="K53">
        <f>+G53</f>
        <v>-7.4438775554881431E-3</v>
      </c>
      <c r="O53">
        <f t="shared" si="4"/>
        <v>-4.9700103682360879E-2</v>
      </c>
      <c r="P53">
        <f t="shared" si="5"/>
        <v>0.51564842764320429</v>
      </c>
      <c r="Q53" s="2">
        <f t="shared" si="6"/>
        <v>40055.003799999999</v>
      </c>
      <c r="R53" s="2"/>
      <c r="S53">
        <f>G53</f>
        <v>-7.4438775554881431E-3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0"/>
  <sheetViews>
    <sheetView workbookViewId="0">
      <selection activeCell="A14" sqref="A14:D41"/>
    </sheetView>
  </sheetViews>
  <sheetFormatPr defaultRowHeight="12.75" x14ac:dyDescent="0.2"/>
  <cols>
    <col min="1" max="1" width="19.7109375" style="12" customWidth="1"/>
    <col min="2" max="2" width="4.42578125" style="27" customWidth="1"/>
    <col min="3" max="3" width="12.7109375" style="12" customWidth="1"/>
    <col min="4" max="4" width="5.42578125" style="27" customWidth="1"/>
    <col min="5" max="5" width="14.85546875" style="27" customWidth="1"/>
    <col min="6" max="6" width="9.140625" style="27"/>
    <col min="7" max="7" width="12" style="27" customWidth="1"/>
    <col min="8" max="8" width="14.140625" style="12" customWidth="1"/>
    <col min="9" max="9" width="22.5703125" style="27" customWidth="1"/>
    <col min="10" max="10" width="25.140625" style="27" customWidth="1"/>
    <col min="11" max="11" width="15.7109375" style="27" customWidth="1"/>
    <col min="12" max="12" width="14.140625" style="27" customWidth="1"/>
    <col min="13" max="13" width="9.5703125" style="27" customWidth="1"/>
    <col min="14" max="14" width="14.140625" style="27" customWidth="1"/>
    <col min="15" max="15" width="23.42578125" style="27" customWidth="1"/>
    <col min="16" max="16" width="16.5703125" style="27" customWidth="1"/>
    <col min="17" max="17" width="41" style="27" customWidth="1"/>
    <col min="18" max="16384" width="9.140625" style="27"/>
  </cols>
  <sheetData>
    <row r="1" spans="1:16" ht="15.75" x14ac:dyDescent="0.25">
      <c r="A1" s="26" t="s">
        <v>34</v>
      </c>
      <c r="I1" s="28" t="s">
        <v>35</v>
      </c>
      <c r="J1" s="29" t="s">
        <v>36</v>
      </c>
    </row>
    <row r="2" spans="1:16" x14ac:dyDescent="0.2">
      <c r="I2" s="30" t="s">
        <v>37</v>
      </c>
      <c r="J2" s="31" t="s">
        <v>38</v>
      </c>
    </row>
    <row r="3" spans="1:16" x14ac:dyDescent="0.2">
      <c r="A3" s="32" t="s">
        <v>39</v>
      </c>
      <c r="I3" s="30" t="s">
        <v>40</v>
      </c>
      <c r="J3" s="31" t="s">
        <v>41</v>
      </c>
    </row>
    <row r="4" spans="1:16" x14ac:dyDescent="0.2">
      <c r="I4" s="30" t="s">
        <v>42</v>
      </c>
      <c r="J4" s="31" t="s">
        <v>41</v>
      </c>
    </row>
    <row r="5" spans="1:16" ht="13.5" thickBot="1" x14ac:dyDescent="0.25">
      <c r="I5" s="33" t="s">
        <v>43</v>
      </c>
      <c r="J5" s="34" t="s">
        <v>44</v>
      </c>
    </row>
    <row r="10" spans="1:16" ht="13.5" thickBot="1" x14ac:dyDescent="0.25"/>
    <row r="11" spans="1:16" ht="12.75" customHeight="1" thickBot="1" x14ac:dyDescent="0.25">
      <c r="A11" s="12" t="str">
        <f t="shared" ref="A11:A41" si="0">P11</f>
        <v>IBVS 5745 </v>
      </c>
      <c r="B11" s="5" t="str">
        <f t="shared" ref="B11:B41" si="1">IF(H11=INT(H11),"I","II")</f>
        <v>II</v>
      </c>
      <c r="C11" s="12">
        <f t="shared" ref="C11:C41" si="2">1*G11</f>
        <v>50661.675999999999</v>
      </c>
      <c r="D11" s="27" t="str">
        <f t="shared" ref="D11:D41" si="3">VLOOKUP(F11,I$1:J$5,2,FALSE)</f>
        <v>vis</v>
      </c>
      <c r="E11" s="35">
        <f>VLOOKUP(C11,'Active 1'!C$21:E$973,3,FALSE)</f>
        <v>-214.47013443266897</v>
      </c>
      <c r="F11" s="5" t="s">
        <v>43</v>
      </c>
      <c r="G11" s="27" t="str">
        <f t="shared" ref="G11:G41" si="4">MID(I11,3,LEN(I11)-3)</f>
        <v>50661.6760</v>
      </c>
      <c r="H11" s="12">
        <f t="shared" ref="H11:H41" si="5">1*K11</f>
        <v>1335.5</v>
      </c>
      <c r="I11" s="36" t="s">
        <v>124</v>
      </c>
      <c r="J11" s="37" t="s">
        <v>125</v>
      </c>
      <c r="K11" s="36">
        <v>1335.5</v>
      </c>
      <c r="L11" s="36" t="s">
        <v>126</v>
      </c>
      <c r="M11" s="37" t="s">
        <v>127</v>
      </c>
      <c r="N11" s="37" t="s">
        <v>128</v>
      </c>
      <c r="O11" s="38" t="s">
        <v>129</v>
      </c>
      <c r="P11" s="39" t="s">
        <v>130</v>
      </c>
    </row>
    <row r="12" spans="1:16" ht="12.75" customHeight="1" thickBot="1" x14ac:dyDescent="0.25">
      <c r="A12" s="12" t="str">
        <f t="shared" si="0"/>
        <v>IBVS 5745 </v>
      </c>
      <c r="B12" s="5" t="str">
        <f t="shared" si="1"/>
        <v>I</v>
      </c>
      <c r="C12" s="12">
        <f t="shared" si="2"/>
        <v>53588.834300000002</v>
      </c>
      <c r="D12" s="27" t="str">
        <f t="shared" si="3"/>
        <v>vis</v>
      </c>
      <c r="E12" s="35">
        <f>VLOOKUP(C12,'Active 1'!C$21:E$973,3,FALSE)</f>
        <v>-38.99985816135738</v>
      </c>
      <c r="F12" s="5" t="s">
        <v>43</v>
      </c>
      <c r="G12" s="27" t="str">
        <f t="shared" si="4"/>
        <v>53588.8343</v>
      </c>
      <c r="H12" s="12">
        <f t="shared" si="5"/>
        <v>1511</v>
      </c>
      <c r="I12" s="36" t="s">
        <v>131</v>
      </c>
      <c r="J12" s="37" t="s">
        <v>132</v>
      </c>
      <c r="K12" s="36">
        <v>1511</v>
      </c>
      <c r="L12" s="36" t="s">
        <v>133</v>
      </c>
      <c r="M12" s="37" t="s">
        <v>127</v>
      </c>
      <c r="N12" s="37" t="s">
        <v>128</v>
      </c>
      <c r="O12" s="38" t="s">
        <v>129</v>
      </c>
      <c r="P12" s="39" t="s">
        <v>130</v>
      </c>
    </row>
    <row r="13" spans="1:16" ht="12.75" customHeight="1" thickBot="1" x14ac:dyDescent="0.25">
      <c r="A13" s="12" t="str">
        <f t="shared" si="0"/>
        <v>BAVM 186 </v>
      </c>
      <c r="B13" s="5" t="str">
        <f t="shared" si="1"/>
        <v>I</v>
      </c>
      <c r="C13" s="12">
        <f t="shared" si="2"/>
        <v>54239.419300000001</v>
      </c>
      <c r="D13" s="27" t="str">
        <f t="shared" si="3"/>
        <v>vis</v>
      </c>
      <c r="E13" s="35">
        <f>VLOOKUP(C13,'Active 1'!C$21:E$973,3,FALSE)</f>
        <v>-1.4649971920468549E-4</v>
      </c>
      <c r="F13" s="5" t="s">
        <v>43</v>
      </c>
      <c r="G13" s="27" t="str">
        <f t="shared" si="4"/>
        <v>54239.4193</v>
      </c>
      <c r="H13" s="12">
        <f t="shared" si="5"/>
        <v>1550</v>
      </c>
      <c r="I13" s="36" t="s">
        <v>134</v>
      </c>
      <c r="J13" s="37" t="s">
        <v>135</v>
      </c>
      <c r="K13" s="36">
        <v>1550</v>
      </c>
      <c r="L13" s="36" t="s">
        <v>136</v>
      </c>
      <c r="M13" s="37" t="s">
        <v>137</v>
      </c>
      <c r="N13" s="37" t="s">
        <v>138</v>
      </c>
      <c r="O13" s="38" t="s">
        <v>139</v>
      </c>
      <c r="P13" s="39" t="s">
        <v>140</v>
      </c>
    </row>
    <row r="14" spans="1:16" ht="12.75" customHeight="1" thickBot="1" x14ac:dyDescent="0.25">
      <c r="A14" s="12" t="str">
        <f t="shared" si="0"/>
        <v> AN 251.327 </v>
      </c>
      <c r="B14" s="5" t="str">
        <f t="shared" si="1"/>
        <v>II</v>
      </c>
      <c r="C14" s="12">
        <f t="shared" si="2"/>
        <v>26189.539000000001</v>
      </c>
      <c r="D14" s="27" t="str">
        <f t="shared" si="3"/>
        <v>vis</v>
      </c>
      <c r="E14" s="35">
        <f>VLOOKUP(C14,'Active 1'!C$21:E$973,3,FALSE)</f>
        <v>-1681.4672012941987</v>
      </c>
      <c r="F14" s="5" t="s">
        <v>43</v>
      </c>
      <c r="G14" s="27" t="str">
        <f t="shared" si="4"/>
        <v>26189.539</v>
      </c>
      <c r="H14" s="12">
        <f t="shared" si="5"/>
        <v>-131.5</v>
      </c>
      <c r="I14" s="36" t="s">
        <v>45</v>
      </c>
      <c r="J14" s="37" t="s">
        <v>46</v>
      </c>
      <c r="K14" s="36">
        <v>-131.5</v>
      </c>
      <c r="L14" s="36" t="s">
        <v>47</v>
      </c>
      <c r="M14" s="37" t="s">
        <v>48</v>
      </c>
      <c r="N14" s="37"/>
      <c r="O14" s="38" t="s">
        <v>49</v>
      </c>
      <c r="P14" s="38" t="s">
        <v>50</v>
      </c>
    </row>
    <row r="15" spans="1:16" ht="12.75" customHeight="1" thickBot="1" x14ac:dyDescent="0.25">
      <c r="A15" s="12" t="str">
        <f t="shared" si="0"/>
        <v> AN 251.327 </v>
      </c>
      <c r="B15" s="5" t="str">
        <f t="shared" si="1"/>
        <v>I</v>
      </c>
      <c r="C15" s="12">
        <f t="shared" si="2"/>
        <v>26631.295999999998</v>
      </c>
      <c r="D15" s="27" t="str">
        <f t="shared" si="3"/>
        <v>vis</v>
      </c>
      <c r="E15" s="35">
        <f>VLOOKUP(C15,'Active 1'!C$21:E$973,3,FALSE)</f>
        <v>-1654.985810508198</v>
      </c>
      <c r="F15" s="5" t="s">
        <v>43</v>
      </c>
      <c r="G15" s="27" t="str">
        <f t="shared" si="4"/>
        <v>26631.296</v>
      </c>
      <c r="H15" s="12">
        <f t="shared" si="5"/>
        <v>-105</v>
      </c>
      <c r="I15" s="36" t="s">
        <v>51</v>
      </c>
      <c r="J15" s="37" t="s">
        <v>52</v>
      </c>
      <c r="K15" s="36">
        <v>-105</v>
      </c>
      <c r="L15" s="36" t="s">
        <v>53</v>
      </c>
      <c r="M15" s="37" t="s">
        <v>48</v>
      </c>
      <c r="N15" s="37"/>
      <c r="O15" s="38" t="s">
        <v>49</v>
      </c>
      <c r="P15" s="38" t="s">
        <v>50</v>
      </c>
    </row>
    <row r="16" spans="1:16" ht="12.75" customHeight="1" thickBot="1" x14ac:dyDescent="0.25">
      <c r="A16" s="12" t="str">
        <f t="shared" si="0"/>
        <v> AN 251.327 </v>
      </c>
      <c r="B16" s="5" t="str">
        <f t="shared" si="1"/>
        <v>I</v>
      </c>
      <c r="C16" s="12">
        <f t="shared" si="2"/>
        <v>27298.495999999999</v>
      </c>
      <c r="D16" s="27" t="str">
        <f t="shared" si="3"/>
        <v>vis</v>
      </c>
      <c r="E16" s="35">
        <f>VLOOKUP(C16,'Active 1'!C$21:E$973,3,FALSE)</f>
        <v>-1614.9901026135417</v>
      </c>
      <c r="F16" s="5" t="s">
        <v>43</v>
      </c>
      <c r="G16" s="27" t="str">
        <f t="shared" si="4"/>
        <v>27298.496</v>
      </c>
      <c r="H16" s="12">
        <f t="shared" si="5"/>
        <v>-65</v>
      </c>
      <c r="I16" s="36" t="s">
        <v>54</v>
      </c>
      <c r="J16" s="37" t="s">
        <v>55</v>
      </c>
      <c r="K16" s="36">
        <v>-65</v>
      </c>
      <c r="L16" s="36" t="s">
        <v>56</v>
      </c>
      <c r="M16" s="37" t="s">
        <v>48</v>
      </c>
      <c r="N16" s="37"/>
      <c r="O16" s="38" t="s">
        <v>49</v>
      </c>
      <c r="P16" s="38" t="s">
        <v>50</v>
      </c>
    </row>
    <row r="17" spans="1:16" ht="12.75" customHeight="1" thickBot="1" x14ac:dyDescent="0.25">
      <c r="A17" s="12" t="str">
        <f t="shared" si="0"/>
        <v> AN 281.180 </v>
      </c>
      <c r="B17" s="5" t="str">
        <f t="shared" si="1"/>
        <v>II</v>
      </c>
      <c r="C17" s="12">
        <f t="shared" si="2"/>
        <v>28391.458999999999</v>
      </c>
      <c r="D17" s="27" t="str">
        <f t="shared" si="3"/>
        <v>vis</v>
      </c>
      <c r="E17" s="35">
        <f>VLOOKUP(C17,'Active 1'!C$21:E$973,3,FALSE)</f>
        <v>-1549.4717739449757</v>
      </c>
      <c r="F17" s="5" t="s">
        <v>43</v>
      </c>
      <c r="G17" s="27" t="str">
        <f t="shared" si="4"/>
        <v>28391.459</v>
      </c>
      <c r="H17" s="12">
        <f t="shared" si="5"/>
        <v>0.5</v>
      </c>
      <c r="I17" s="36" t="s">
        <v>57</v>
      </c>
      <c r="J17" s="37" t="s">
        <v>58</v>
      </c>
      <c r="K17" s="36">
        <v>0.5</v>
      </c>
      <c r="L17" s="36" t="s">
        <v>59</v>
      </c>
      <c r="M17" s="37" t="s">
        <v>48</v>
      </c>
      <c r="N17" s="37"/>
      <c r="O17" s="38" t="s">
        <v>60</v>
      </c>
      <c r="P17" s="38" t="s">
        <v>61</v>
      </c>
    </row>
    <row r="18" spans="1:16" ht="12.75" customHeight="1" thickBot="1" x14ac:dyDescent="0.25">
      <c r="A18" s="12" t="str">
        <f t="shared" si="0"/>
        <v> MVS 4.149 </v>
      </c>
      <c r="B18" s="5" t="str">
        <f t="shared" si="1"/>
        <v>II</v>
      </c>
      <c r="C18" s="12">
        <f t="shared" si="2"/>
        <v>30793.65</v>
      </c>
      <c r="D18" s="27" t="str">
        <f t="shared" si="3"/>
        <v>vis</v>
      </c>
      <c r="E18" s="35">
        <f>VLOOKUP(C18,'Active 1'!C$21:E$973,3,FALSE)</f>
        <v>-1405.4709802651605</v>
      </c>
      <c r="F18" s="5" t="s">
        <v>43</v>
      </c>
      <c r="G18" s="27" t="str">
        <f t="shared" si="4"/>
        <v>30793.65</v>
      </c>
      <c r="H18" s="12">
        <f t="shared" si="5"/>
        <v>144.5</v>
      </c>
      <c r="I18" s="36" t="s">
        <v>62</v>
      </c>
      <c r="J18" s="37" t="s">
        <v>63</v>
      </c>
      <c r="K18" s="36">
        <v>144.5</v>
      </c>
      <c r="L18" s="36" t="s">
        <v>64</v>
      </c>
      <c r="M18" s="37" t="s">
        <v>48</v>
      </c>
      <c r="N18" s="37"/>
      <c r="O18" s="38" t="s">
        <v>65</v>
      </c>
      <c r="P18" s="38" t="s">
        <v>66</v>
      </c>
    </row>
    <row r="19" spans="1:16" ht="12.75" customHeight="1" thickBot="1" x14ac:dyDescent="0.25">
      <c r="A19" s="12" t="str">
        <f t="shared" si="0"/>
        <v> MVS 4.149 </v>
      </c>
      <c r="B19" s="5" t="str">
        <f t="shared" si="1"/>
        <v>II</v>
      </c>
      <c r="C19" s="12">
        <f t="shared" si="2"/>
        <v>31327.47</v>
      </c>
      <c r="D19" s="27" t="str">
        <f t="shared" si="3"/>
        <v>vis</v>
      </c>
      <c r="E19" s="35">
        <f>VLOOKUP(C19,'Active 1'!C$21:E$973,3,FALSE)</f>
        <v>-1373.4708172131138</v>
      </c>
      <c r="F19" s="5" t="s">
        <v>43</v>
      </c>
      <c r="G19" s="27" t="str">
        <f t="shared" si="4"/>
        <v>31327.47</v>
      </c>
      <c r="H19" s="12">
        <f t="shared" si="5"/>
        <v>176.5</v>
      </c>
      <c r="I19" s="36" t="s">
        <v>67</v>
      </c>
      <c r="J19" s="37" t="s">
        <v>68</v>
      </c>
      <c r="K19" s="36">
        <v>176.5</v>
      </c>
      <c r="L19" s="36" t="s">
        <v>69</v>
      </c>
      <c r="M19" s="37" t="s">
        <v>48</v>
      </c>
      <c r="N19" s="37"/>
      <c r="O19" s="38" t="s">
        <v>65</v>
      </c>
      <c r="P19" s="38" t="s">
        <v>66</v>
      </c>
    </row>
    <row r="20" spans="1:16" ht="12.75" customHeight="1" thickBot="1" x14ac:dyDescent="0.25">
      <c r="A20" s="12" t="str">
        <f t="shared" si="0"/>
        <v> MVS 4.149 </v>
      </c>
      <c r="B20" s="5" t="str">
        <f t="shared" si="1"/>
        <v>I</v>
      </c>
      <c r="C20" s="12">
        <f t="shared" si="2"/>
        <v>31585.53</v>
      </c>
      <c r="D20" s="27" t="str">
        <f t="shared" si="3"/>
        <v>vis</v>
      </c>
      <c r="E20" s="35">
        <f>VLOOKUP(C20,'Active 1'!C$21:E$973,3,FALSE)</f>
        <v>-1358.0012542945065</v>
      </c>
      <c r="F20" s="5" t="s">
        <v>43</v>
      </c>
      <c r="G20" s="27" t="str">
        <f t="shared" si="4"/>
        <v>31585.53</v>
      </c>
      <c r="H20" s="12">
        <f t="shared" si="5"/>
        <v>192</v>
      </c>
      <c r="I20" s="36" t="s">
        <v>70</v>
      </c>
      <c r="J20" s="37" t="s">
        <v>71</v>
      </c>
      <c r="K20" s="36">
        <v>192</v>
      </c>
      <c r="L20" s="36" t="s">
        <v>69</v>
      </c>
      <c r="M20" s="37" t="s">
        <v>48</v>
      </c>
      <c r="N20" s="37"/>
      <c r="O20" s="38" t="s">
        <v>65</v>
      </c>
      <c r="P20" s="38" t="s">
        <v>66</v>
      </c>
    </row>
    <row r="21" spans="1:16" ht="12.75" customHeight="1" thickBot="1" x14ac:dyDescent="0.25">
      <c r="A21" s="12" t="str">
        <f t="shared" si="0"/>
        <v> MVS 4.149 </v>
      </c>
      <c r="B21" s="5" t="str">
        <f t="shared" si="1"/>
        <v>I</v>
      </c>
      <c r="C21" s="12">
        <f t="shared" si="2"/>
        <v>34221.449999999997</v>
      </c>
      <c r="D21" s="27" t="str">
        <f t="shared" si="3"/>
        <v>vis</v>
      </c>
      <c r="E21" s="35">
        <f>VLOOKUP(C21,'Active 1'!C$21:E$973,3,FALSE)</f>
        <v>-1199.9894342200421</v>
      </c>
      <c r="F21" s="5" t="s">
        <v>43</v>
      </c>
      <c r="G21" s="27" t="str">
        <f t="shared" si="4"/>
        <v>34221.45</v>
      </c>
      <c r="H21" s="12">
        <f t="shared" si="5"/>
        <v>350</v>
      </c>
      <c r="I21" s="36" t="s">
        <v>72</v>
      </c>
      <c r="J21" s="37" t="s">
        <v>73</v>
      </c>
      <c r="K21" s="36">
        <v>350</v>
      </c>
      <c r="L21" s="36" t="s">
        <v>74</v>
      </c>
      <c r="M21" s="37" t="s">
        <v>48</v>
      </c>
      <c r="N21" s="37"/>
      <c r="O21" s="38" t="s">
        <v>65</v>
      </c>
      <c r="P21" s="38" t="s">
        <v>66</v>
      </c>
    </row>
    <row r="22" spans="1:16" ht="12.75" customHeight="1" thickBot="1" x14ac:dyDescent="0.25">
      <c r="A22" s="12" t="str">
        <f t="shared" si="0"/>
        <v> MVS 4.149 </v>
      </c>
      <c r="B22" s="5" t="str">
        <f t="shared" si="1"/>
        <v>I</v>
      </c>
      <c r="C22" s="12">
        <f t="shared" si="2"/>
        <v>34271.360000000001</v>
      </c>
      <c r="D22" s="27" t="str">
        <f t="shared" si="3"/>
        <v>vis</v>
      </c>
      <c r="E22" s="35">
        <f>VLOOKUP(C22,'Active 1'!C$21:E$973,3,FALSE)</f>
        <v>-1196.9975490566392</v>
      </c>
      <c r="F22" s="5" t="s">
        <v>43</v>
      </c>
      <c r="G22" s="27" t="str">
        <f t="shared" si="4"/>
        <v>34271.36</v>
      </c>
      <c r="H22" s="12">
        <f t="shared" si="5"/>
        <v>353</v>
      </c>
      <c r="I22" s="36" t="s">
        <v>75</v>
      </c>
      <c r="J22" s="37" t="s">
        <v>76</v>
      </c>
      <c r="K22" s="36">
        <v>353</v>
      </c>
      <c r="L22" s="36" t="s">
        <v>77</v>
      </c>
      <c r="M22" s="37" t="s">
        <v>48</v>
      </c>
      <c r="N22" s="37"/>
      <c r="O22" s="38" t="s">
        <v>65</v>
      </c>
      <c r="P22" s="38" t="s">
        <v>66</v>
      </c>
    </row>
    <row r="23" spans="1:16" ht="12.75" customHeight="1" thickBot="1" x14ac:dyDescent="0.25">
      <c r="A23" s="12" t="str">
        <f t="shared" si="0"/>
        <v> MVS 4.149 </v>
      </c>
      <c r="B23" s="5" t="str">
        <f t="shared" si="1"/>
        <v>I</v>
      </c>
      <c r="C23" s="12">
        <f t="shared" si="2"/>
        <v>36790.449999999997</v>
      </c>
      <c r="D23" s="27" t="str">
        <f t="shared" si="3"/>
        <v>vis</v>
      </c>
      <c r="E23" s="35">
        <f>VLOOKUP(C23,'Active 1'!C$21:E$973,3,FALSE)</f>
        <v>-1045.9891740561147</v>
      </c>
      <c r="F23" s="5" t="s">
        <v>43</v>
      </c>
      <c r="G23" s="27" t="str">
        <f t="shared" si="4"/>
        <v>36790.45</v>
      </c>
      <c r="H23" s="12">
        <f t="shared" si="5"/>
        <v>504</v>
      </c>
      <c r="I23" s="36" t="s">
        <v>78</v>
      </c>
      <c r="J23" s="37" t="s">
        <v>79</v>
      </c>
      <c r="K23" s="36">
        <v>504</v>
      </c>
      <c r="L23" s="36" t="s">
        <v>80</v>
      </c>
      <c r="M23" s="37" t="s">
        <v>48</v>
      </c>
      <c r="N23" s="37"/>
      <c r="O23" s="38" t="s">
        <v>65</v>
      </c>
      <c r="P23" s="38" t="s">
        <v>66</v>
      </c>
    </row>
    <row r="24" spans="1:16" ht="12.75" customHeight="1" thickBot="1" x14ac:dyDescent="0.25">
      <c r="A24" s="12" t="str">
        <f t="shared" si="0"/>
        <v> MVS 4.149 </v>
      </c>
      <c r="B24" s="5" t="str">
        <f t="shared" si="1"/>
        <v>I</v>
      </c>
      <c r="C24" s="12">
        <f t="shared" si="2"/>
        <v>36840.35</v>
      </c>
      <c r="D24" s="27" t="str">
        <f t="shared" si="3"/>
        <v>vis</v>
      </c>
      <c r="E24" s="35">
        <f>VLOOKUP(C24,'Active 1'!C$21:E$973,3,FALSE)</f>
        <v>-1042.9978883487656</v>
      </c>
      <c r="F24" s="5" t="s">
        <v>43</v>
      </c>
      <c r="G24" s="27" t="str">
        <f t="shared" si="4"/>
        <v>36840.35</v>
      </c>
      <c r="H24" s="12">
        <f t="shared" si="5"/>
        <v>507</v>
      </c>
      <c r="I24" s="36" t="s">
        <v>81</v>
      </c>
      <c r="J24" s="37" t="s">
        <v>82</v>
      </c>
      <c r="K24" s="36">
        <v>507</v>
      </c>
      <c r="L24" s="36" t="s">
        <v>83</v>
      </c>
      <c r="M24" s="37" t="s">
        <v>48</v>
      </c>
      <c r="N24" s="37"/>
      <c r="O24" s="38" t="s">
        <v>65</v>
      </c>
      <c r="P24" s="38" t="s">
        <v>66</v>
      </c>
    </row>
    <row r="25" spans="1:16" ht="12.75" customHeight="1" thickBot="1" x14ac:dyDescent="0.25">
      <c r="A25" s="12" t="str">
        <f t="shared" si="0"/>
        <v> MVS 4.149 </v>
      </c>
      <c r="B25" s="5" t="str">
        <f t="shared" si="1"/>
        <v>II</v>
      </c>
      <c r="C25" s="12">
        <f t="shared" si="2"/>
        <v>36899.24</v>
      </c>
      <c r="D25" s="27" t="str">
        <f t="shared" si="3"/>
        <v>vis</v>
      </c>
      <c r="E25" s="35">
        <f>VLOOKUP(C25,'Active 1'!C$21:E$973,3,FALSE)</f>
        <v>-1039.4676916492508</v>
      </c>
      <c r="F25" s="5" t="s">
        <v>43</v>
      </c>
      <c r="G25" s="27" t="str">
        <f t="shared" si="4"/>
        <v>36899.24</v>
      </c>
      <c r="H25" s="12">
        <f t="shared" si="5"/>
        <v>510.5</v>
      </c>
      <c r="I25" s="36" t="s">
        <v>84</v>
      </c>
      <c r="J25" s="37" t="s">
        <v>85</v>
      </c>
      <c r="K25" s="36">
        <v>510.5</v>
      </c>
      <c r="L25" s="36" t="s">
        <v>83</v>
      </c>
      <c r="M25" s="37" t="s">
        <v>48</v>
      </c>
      <c r="N25" s="37"/>
      <c r="O25" s="38" t="s">
        <v>65</v>
      </c>
      <c r="P25" s="38" t="s">
        <v>66</v>
      </c>
    </row>
    <row r="26" spans="1:16" ht="12.75" customHeight="1" thickBot="1" x14ac:dyDescent="0.25">
      <c r="A26" s="12" t="str">
        <f t="shared" si="0"/>
        <v> MVS 4.149 </v>
      </c>
      <c r="B26" s="5" t="str">
        <f t="shared" si="1"/>
        <v>I</v>
      </c>
      <c r="C26" s="12">
        <f t="shared" si="2"/>
        <v>37824.449999999997</v>
      </c>
      <c r="D26" s="27" t="str">
        <f t="shared" si="3"/>
        <v>vis</v>
      </c>
      <c r="E26" s="35">
        <f>VLOOKUP(C26,'Active 1'!C$21:E$973,3,FALSE)</f>
        <v>-984.00541811625465</v>
      </c>
      <c r="F26" s="5" t="s">
        <v>43</v>
      </c>
      <c r="G26" s="27" t="str">
        <f t="shared" si="4"/>
        <v>37824.45</v>
      </c>
      <c r="H26" s="12">
        <f t="shared" si="5"/>
        <v>566</v>
      </c>
      <c r="I26" s="36" t="s">
        <v>86</v>
      </c>
      <c r="J26" s="37" t="s">
        <v>87</v>
      </c>
      <c r="K26" s="36">
        <v>566</v>
      </c>
      <c r="L26" s="36" t="s">
        <v>88</v>
      </c>
      <c r="M26" s="37" t="s">
        <v>48</v>
      </c>
      <c r="N26" s="37"/>
      <c r="O26" s="38" t="s">
        <v>65</v>
      </c>
      <c r="P26" s="38" t="s">
        <v>66</v>
      </c>
    </row>
    <row r="27" spans="1:16" ht="12.75" customHeight="1" thickBot="1" x14ac:dyDescent="0.25">
      <c r="A27" s="12" t="str">
        <f t="shared" si="0"/>
        <v> MVS 4.149 </v>
      </c>
      <c r="B27" s="5" t="str">
        <f t="shared" si="1"/>
        <v>II</v>
      </c>
      <c r="C27" s="12">
        <f t="shared" si="2"/>
        <v>37883.43</v>
      </c>
      <c r="D27" s="27" t="str">
        <f t="shared" si="3"/>
        <v>vis</v>
      </c>
      <c r="E27" s="35">
        <f>VLOOKUP(C27,'Active 1'!C$21:E$973,3,FALSE)</f>
        <v>-980.4698263122574</v>
      </c>
      <c r="F27" s="5" t="s">
        <v>43</v>
      </c>
      <c r="G27" s="27" t="str">
        <f t="shared" si="4"/>
        <v>37883.43</v>
      </c>
      <c r="H27" s="12">
        <f t="shared" si="5"/>
        <v>569.5</v>
      </c>
      <c r="I27" s="36" t="s">
        <v>89</v>
      </c>
      <c r="J27" s="37" t="s">
        <v>90</v>
      </c>
      <c r="K27" s="36">
        <v>569.5</v>
      </c>
      <c r="L27" s="36" t="s">
        <v>91</v>
      </c>
      <c r="M27" s="37" t="s">
        <v>48</v>
      </c>
      <c r="N27" s="37"/>
      <c r="O27" s="38" t="s">
        <v>65</v>
      </c>
      <c r="P27" s="38" t="s">
        <v>66</v>
      </c>
    </row>
    <row r="28" spans="1:16" ht="12.75" customHeight="1" thickBot="1" x14ac:dyDescent="0.25">
      <c r="A28" s="12" t="str">
        <f t="shared" si="0"/>
        <v> MVS 4.149 </v>
      </c>
      <c r="B28" s="5" t="str">
        <f t="shared" si="1"/>
        <v>I</v>
      </c>
      <c r="C28" s="12">
        <f t="shared" si="2"/>
        <v>37941.449999999997</v>
      </c>
      <c r="D28" s="27" t="str">
        <f t="shared" si="3"/>
        <v>vis</v>
      </c>
      <c r="E28" s="35">
        <f>VLOOKUP(C28,'Active 1'!C$21:E$973,3,FALSE)</f>
        <v>-976.99178228940389</v>
      </c>
      <c r="F28" s="5" t="s">
        <v>43</v>
      </c>
      <c r="G28" s="27" t="str">
        <f t="shared" si="4"/>
        <v>37941.45</v>
      </c>
      <c r="H28" s="12">
        <f t="shared" si="5"/>
        <v>573</v>
      </c>
      <c r="I28" s="36" t="s">
        <v>92</v>
      </c>
      <c r="J28" s="37" t="s">
        <v>93</v>
      </c>
      <c r="K28" s="36">
        <v>573</v>
      </c>
      <c r="L28" s="36" t="s">
        <v>94</v>
      </c>
      <c r="M28" s="37" t="s">
        <v>48</v>
      </c>
      <c r="N28" s="37"/>
      <c r="O28" s="38" t="s">
        <v>65</v>
      </c>
      <c r="P28" s="38" t="s">
        <v>66</v>
      </c>
    </row>
    <row r="29" spans="1:16" ht="12.75" customHeight="1" thickBot="1" x14ac:dyDescent="0.25">
      <c r="A29" s="12" t="str">
        <f t="shared" si="0"/>
        <v> MVS 4.149 </v>
      </c>
      <c r="B29" s="5" t="str">
        <f t="shared" si="1"/>
        <v>II</v>
      </c>
      <c r="C29" s="12">
        <f t="shared" si="2"/>
        <v>38050.25</v>
      </c>
      <c r="D29" s="27" t="str">
        <f t="shared" si="3"/>
        <v>vis</v>
      </c>
      <c r="E29" s="35">
        <f>VLOOKUP(C29,'Active 1'!C$21:E$973,3,FALSE)</f>
        <v>-970.46970042648616</v>
      </c>
      <c r="F29" s="5" t="s">
        <v>43</v>
      </c>
      <c r="G29" s="27" t="str">
        <f t="shared" si="4"/>
        <v>38050.25</v>
      </c>
      <c r="H29" s="12">
        <f t="shared" si="5"/>
        <v>579.5</v>
      </c>
      <c r="I29" s="36" t="s">
        <v>95</v>
      </c>
      <c r="J29" s="37" t="s">
        <v>96</v>
      </c>
      <c r="K29" s="36">
        <v>579.5</v>
      </c>
      <c r="L29" s="36" t="s">
        <v>91</v>
      </c>
      <c r="M29" s="37" t="s">
        <v>48</v>
      </c>
      <c r="N29" s="37"/>
      <c r="O29" s="38" t="s">
        <v>65</v>
      </c>
      <c r="P29" s="38" t="s">
        <v>66</v>
      </c>
    </row>
    <row r="30" spans="1:16" ht="12.75" customHeight="1" thickBot="1" x14ac:dyDescent="0.25">
      <c r="A30" s="12" t="str">
        <f t="shared" si="0"/>
        <v> MVS 4.149 </v>
      </c>
      <c r="B30" s="5" t="str">
        <f t="shared" si="1"/>
        <v>I</v>
      </c>
      <c r="C30" s="12">
        <f t="shared" si="2"/>
        <v>38091.67</v>
      </c>
      <c r="D30" s="27" t="str">
        <f t="shared" si="3"/>
        <v>vis</v>
      </c>
      <c r="E30" s="35">
        <f>VLOOKUP(C30,'Active 1'!C$21:E$973,3,FALSE)</f>
        <v>-967.98675345257038</v>
      </c>
      <c r="F30" s="5" t="s">
        <v>43</v>
      </c>
      <c r="G30" s="27" t="str">
        <f t="shared" si="4"/>
        <v>38091.67</v>
      </c>
      <c r="H30" s="12">
        <f t="shared" si="5"/>
        <v>582</v>
      </c>
      <c r="I30" s="36" t="s">
        <v>97</v>
      </c>
      <c r="J30" s="37" t="s">
        <v>98</v>
      </c>
      <c r="K30" s="36">
        <v>582</v>
      </c>
      <c r="L30" s="36" t="s">
        <v>99</v>
      </c>
      <c r="M30" s="37" t="s">
        <v>48</v>
      </c>
      <c r="N30" s="37"/>
      <c r="O30" s="38" t="s">
        <v>65</v>
      </c>
      <c r="P30" s="38" t="s">
        <v>66</v>
      </c>
    </row>
    <row r="31" spans="1:16" ht="12.75" customHeight="1" thickBot="1" x14ac:dyDescent="0.25">
      <c r="A31" s="12" t="str">
        <f t="shared" si="0"/>
        <v> MVS 4.149 </v>
      </c>
      <c r="B31" s="5" t="str">
        <f t="shared" si="1"/>
        <v>II</v>
      </c>
      <c r="C31" s="12">
        <f t="shared" si="2"/>
        <v>38300.47</v>
      </c>
      <c r="D31" s="27" t="str">
        <f t="shared" si="3"/>
        <v>vis</v>
      </c>
      <c r="E31" s="35">
        <f>VLOOKUP(C31,'Active 1'!C$21:E$973,3,FALSE)</f>
        <v>-955.47011105388276</v>
      </c>
      <c r="F31" s="5" t="s">
        <v>43</v>
      </c>
      <c r="G31" s="27" t="str">
        <f t="shared" si="4"/>
        <v>38300.47</v>
      </c>
      <c r="H31" s="12">
        <f t="shared" si="5"/>
        <v>594.5</v>
      </c>
      <c r="I31" s="36" t="s">
        <v>100</v>
      </c>
      <c r="J31" s="37" t="s">
        <v>101</v>
      </c>
      <c r="K31" s="36">
        <v>594.5</v>
      </c>
      <c r="L31" s="36" t="s">
        <v>91</v>
      </c>
      <c r="M31" s="37" t="s">
        <v>48</v>
      </c>
      <c r="N31" s="37"/>
      <c r="O31" s="38" t="s">
        <v>65</v>
      </c>
      <c r="P31" s="38" t="s">
        <v>66</v>
      </c>
    </row>
    <row r="32" spans="1:16" ht="12.75" customHeight="1" thickBot="1" x14ac:dyDescent="0.25">
      <c r="A32" s="12" t="str">
        <f t="shared" si="0"/>
        <v> MVS 4.149 </v>
      </c>
      <c r="B32" s="5" t="str">
        <f t="shared" si="1"/>
        <v>I</v>
      </c>
      <c r="C32" s="12">
        <f t="shared" si="2"/>
        <v>38558.480000000003</v>
      </c>
      <c r="D32" s="27" t="str">
        <f t="shared" si="3"/>
        <v>vis</v>
      </c>
      <c r="E32" s="35">
        <f>VLOOKUP(C32,'Active 1'!C$21:E$973,3,FALSE)</f>
        <v>-940.00354541554293</v>
      </c>
      <c r="F32" s="5" t="s">
        <v>43</v>
      </c>
      <c r="G32" s="27" t="str">
        <f t="shared" si="4"/>
        <v>38558.48</v>
      </c>
      <c r="H32" s="12">
        <f t="shared" si="5"/>
        <v>610</v>
      </c>
      <c r="I32" s="36" t="s">
        <v>102</v>
      </c>
      <c r="J32" s="37" t="s">
        <v>103</v>
      </c>
      <c r="K32" s="36">
        <v>610</v>
      </c>
      <c r="L32" s="36" t="s">
        <v>69</v>
      </c>
      <c r="M32" s="37" t="s">
        <v>48</v>
      </c>
      <c r="N32" s="37"/>
      <c r="O32" s="38" t="s">
        <v>65</v>
      </c>
      <c r="P32" s="38" t="s">
        <v>66</v>
      </c>
    </row>
    <row r="33" spans="1:16" ht="12.75" customHeight="1" thickBot="1" x14ac:dyDescent="0.25">
      <c r="A33" s="12" t="str">
        <f t="shared" si="0"/>
        <v> MVS 4.149 </v>
      </c>
      <c r="B33" s="5" t="str">
        <f t="shared" si="1"/>
        <v>II</v>
      </c>
      <c r="C33" s="12">
        <f t="shared" si="2"/>
        <v>38817.67</v>
      </c>
      <c r="D33" s="27" t="str">
        <f t="shared" si="3"/>
        <v>vis</v>
      </c>
      <c r="E33" s="35">
        <f>VLOOKUP(C33,'Active 1'!C$21:E$973,3,FALSE)</f>
        <v>-924.46624396288132</v>
      </c>
      <c r="F33" s="5" t="s">
        <v>43</v>
      </c>
      <c r="G33" s="27" t="str">
        <f t="shared" si="4"/>
        <v>38817.67</v>
      </c>
      <c r="H33" s="12">
        <f t="shared" si="5"/>
        <v>625.5</v>
      </c>
      <c r="I33" s="36" t="s">
        <v>104</v>
      </c>
      <c r="J33" s="37" t="s">
        <v>105</v>
      </c>
      <c r="K33" s="36">
        <v>625.5</v>
      </c>
      <c r="L33" s="36" t="s">
        <v>106</v>
      </c>
      <c r="M33" s="37" t="s">
        <v>48</v>
      </c>
      <c r="N33" s="37"/>
      <c r="O33" s="38" t="s">
        <v>65</v>
      </c>
      <c r="P33" s="38" t="s">
        <v>66</v>
      </c>
    </row>
    <row r="34" spans="1:16" ht="12.75" customHeight="1" thickBot="1" x14ac:dyDescent="0.25">
      <c r="A34" s="12" t="str">
        <f t="shared" si="0"/>
        <v> MVS 4.149 </v>
      </c>
      <c r="B34" s="5" t="str">
        <f t="shared" si="1"/>
        <v>I</v>
      </c>
      <c r="C34" s="12">
        <f t="shared" si="2"/>
        <v>39025.42</v>
      </c>
      <c r="D34" s="27" t="str">
        <f t="shared" si="3"/>
        <v>vis</v>
      </c>
      <c r="E34" s="35">
        <f>VLOOKUP(C34,'Active 1'!C$21:E$973,3,FALSE)</f>
        <v>-912.01254444981953</v>
      </c>
      <c r="F34" s="5" t="s">
        <v>43</v>
      </c>
      <c r="G34" s="27" t="str">
        <f t="shared" si="4"/>
        <v>39025.42</v>
      </c>
      <c r="H34" s="12">
        <f t="shared" si="5"/>
        <v>638</v>
      </c>
      <c r="I34" s="36" t="s">
        <v>107</v>
      </c>
      <c r="J34" s="37" t="s">
        <v>108</v>
      </c>
      <c r="K34" s="36">
        <v>638</v>
      </c>
      <c r="L34" s="36" t="s">
        <v>109</v>
      </c>
      <c r="M34" s="37" t="s">
        <v>48</v>
      </c>
      <c r="N34" s="37"/>
      <c r="O34" s="38" t="s">
        <v>65</v>
      </c>
      <c r="P34" s="38" t="s">
        <v>66</v>
      </c>
    </row>
    <row r="35" spans="1:16" ht="12.75" customHeight="1" thickBot="1" x14ac:dyDescent="0.25">
      <c r="A35" s="12" t="str">
        <f t="shared" si="0"/>
        <v> MVS 4.149 </v>
      </c>
      <c r="B35" s="5" t="str">
        <f t="shared" si="1"/>
        <v>I</v>
      </c>
      <c r="C35" s="12">
        <f t="shared" si="2"/>
        <v>39142.28</v>
      </c>
      <c r="D35" s="27" t="str">
        <f t="shared" si="3"/>
        <v>vis</v>
      </c>
      <c r="E35" s="35">
        <f>VLOOKUP(C35,'Active 1'!C$21:E$973,3,FALSE)</f>
        <v>-905.00730100771887</v>
      </c>
      <c r="F35" s="5" t="s">
        <v>43</v>
      </c>
      <c r="G35" s="27" t="str">
        <f t="shared" si="4"/>
        <v>39142.28</v>
      </c>
      <c r="H35" s="12">
        <f t="shared" si="5"/>
        <v>645</v>
      </c>
      <c r="I35" s="36" t="s">
        <v>110</v>
      </c>
      <c r="J35" s="37" t="s">
        <v>111</v>
      </c>
      <c r="K35" s="36">
        <v>645</v>
      </c>
      <c r="L35" s="36" t="s">
        <v>112</v>
      </c>
      <c r="M35" s="37" t="s">
        <v>48</v>
      </c>
      <c r="N35" s="37"/>
      <c r="O35" s="38" t="s">
        <v>65</v>
      </c>
      <c r="P35" s="38" t="s">
        <v>66</v>
      </c>
    </row>
    <row r="36" spans="1:16" ht="12.75" customHeight="1" thickBot="1" x14ac:dyDescent="0.25">
      <c r="A36" s="12" t="str">
        <f t="shared" si="0"/>
        <v> MVS 4.149 </v>
      </c>
      <c r="B36" s="5" t="str">
        <f t="shared" si="1"/>
        <v>II</v>
      </c>
      <c r="C36" s="12">
        <f t="shared" si="2"/>
        <v>39184.67</v>
      </c>
      <c r="D36" s="27" t="str">
        <f t="shared" si="3"/>
        <v>vis</v>
      </c>
      <c r="E36" s="35">
        <f>VLOOKUP(C36,'Active 1'!C$21:E$973,3,FALSE)</f>
        <v>-902.466206796606</v>
      </c>
      <c r="F36" s="5" t="s">
        <v>43</v>
      </c>
      <c r="G36" s="27" t="str">
        <f t="shared" si="4"/>
        <v>39184.67</v>
      </c>
      <c r="H36" s="12">
        <f t="shared" si="5"/>
        <v>647.5</v>
      </c>
      <c r="I36" s="36" t="s">
        <v>113</v>
      </c>
      <c r="J36" s="37" t="s">
        <v>114</v>
      </c>
      <c r="K36" s="36">
        <v>647.5</v>
      </c>
      <c r="L36" s="36" t="s">
        <v>115</v>
      </c>
      <c r="M36" s="37" t="s">
        <v>48</v>
      </c>
      <c r="N36" s="37"/>
      <c r="O36" s="38" t="s">
        <v>65</v>
      </c>
      <c r="P36" s="38" t="s">
        <v>66</v>
      </c>
    </row>
    <row r="37" spans="1:16" ht="12.75" customHeight="1" thickBot="1" x14ac:dyDescent="0.25">
      <c r="A37" s="12" t="str">
        <f t="shared" si="0"/>
        <v> MVS 4.149 </v>
      </c>
      <c r="B37" s="5" t="str">
        <f t="shared" si="1"/>
        <v>I</v>
      </c>
      <c r="C37" s="12">
        <f t="shared" si="2"/>
        <v>39242.58</v>
      </c>
      <c r="D37" s="27" t="str">
        <f t="shared" si="3"/>
        <v>vis</v>
      </c>
      <c r="E37" s="35">
        <f>VLOOKUP(C37,'Active 1'!C$21:E$973,3,FALSE)</f>
        <v>-898.99475679034151</v>
      </c>
      <c r="F37" s="5" t="s">
        <v>43</v>
      </c>
      <c r="G37" s="27" t="str">
        <f t="shared" si="4"/>
        <v>39242.58</v>
      </c>
      <c r="H37" s="12">
        <f t="shared" si="5"/>
        <v>651</v>
      </c>
      <c r="I37" s="36" t="s">
        <v>116</v>
      </c>
      <c r="J37" s="37" t="s">
        <v>117</v>
      </c>
      <c r="K37" s="36">
        <v>651</v>
      </c>
      <c r="L37" s="36" t="s">
        <v>118</v>
      </c>
      <c r="M37" s="37" t="s">
        <v>48</v>
      </c>
      <c r="N37" s="37"/>
      <c r="O37" s="38" t="s">
        <v>65</v>
      </c>
      <c r="P37" s="38" t="s">
        <v>66</v>
      </c>
    </row>
    <row r="38" spans="1:16" ht="12.75" customHeight="1" thickBot="1" x14ac:dyDescent="0.25">
      <c r="A38" s="12" t="str">
        <f t="shared" si="0"/>
        <v> MVS 4.149 </v>
      </c>
      <c r="B38" s="5" t="str">
        <f t="shared" si="1"/>
        <v>II</v>
      </c>
      <c r="C38" s="12">
        <f t="shared" si="2"/>
        <v>39351.449999999997</v>
      </c>
      <c r="D38" s="27" t="str">
        <f t="shared" si="3"/>
        <v>vis</v>
      </c>
      <c r="E38" s="35">
        <f>VLOOKUP(C38,'Active 1'!C$21:E$973,3,FALSE)</f>
        <v>-892.46847873504919</v>
      </c>
      <c r="F38" s="5" t="s">
        <v>43</v>
      </c>
      <c r="G38" s="27" t="str">
        <f t="shared" si="4"/>
        <v>39351.45</v>
      </c>
      <c r="H38" s="12">
        <f t="shared" si="5"/>
        <v>657.5</v>
      </c>
      <c r="I38" s="36" t="s">
        <v>119</v>
      </c>
      <c r="J38" s="37" t="s">
        <v>120</v>
      </c>
      <c r="K38" s="36">
        <v>657.5</v>
      </c>
      <c r="L38" s="36" t="s">
        <v>83</v>
      </c>
      <c r="M38" s="37" t="s">
        <v>48</v>
      </c>
      <c r="N38" s="37"/>
      <c r="O38" s="38" t="s">
        <v>65</v>
      </c>
      <c r="P38" s="38" t="s">
        <v>66</v>
      </c>
    </row>
    <row r="39" spans="1:16" ht="12.75" customHeight="1" thickBot="1" x14ac:dyDescent="0.25">
      <c r="A39" s="12" t="str">
        <f t="shared" si="0"/>
        <v> MVS 4.149 </v>
      </c>
      <c r="B39" s="5" t="str">
        <f t="shared" si="1"/>
        <v>I</v>
      </c>
      <c r="C39" s="12">
        <f t="shared" si="2"/>
        <v>39709.5</v>
      </c>
      <c r="D39" s="27" t="str">
        <f t="shared" si="3"/>
        <v>vis</v>
      </c>
      <c r="E39" s="35">
        <f>VLOOKUP(C39,'Active 1'!C$21:E$973,3,FALSE)</f>
        <v>-871.00495473672504</v>
      </c>
      <c r="F39" s="5" t="s">
        <v>43</v>
      </c>
      <c r="G39" s="27" t="str">
        <f t="shared" si="4"/>
        <v>39709.50</v>
      </c>
      <c r="H39" s="12">
        <f t="shared" si="5"/>
        <v>679</v>
      </c>
      <c r="I39" s="36" t="s">
        <v>121</v>
      </c>
      <c r="J39" s="37" t="s">
        <v>122</v>
      </c>
      <c r="K39" s="36">
        <v>679</v>
      </c>
      <c r="L39" s="36" t="s">
        <v>123</v>
      </c>
      <c r="M39" s="37" t="s">
        <v>48</v>
      </c>
      <c r="N39" s="37"/>
      <c r="O39" s="38" t="s">
        <v>65</v>
      </c>
      <c r="P39" s="38" t="s">
        <v>66</v>
      </c>
    </row>
    <row r="40" spans="1:16" ht="12.75" customHeight="1" thickBot="1" x14ac:dyDescent="0.25">
      <c r="A40" s="12" t="str">
        <f t="shared" si="0"/>
        <v>BAVM 203 </v>
      </c>
      <c r="B40" s="5" t="str">
        <f t="shared" si="1"/>
        <v>II</v>
      </c>
      <c r="C40" s="12">
        <f t="shared" si="2"/>
        <v>54715.353900000002</v>
      </c>
      <c r="D40" s="27" t="str">
        <f t="shared" si="3"/>
        <v>vis</v>
      </c>
      <c r="E40" s="35">
        <f>VLOOKUP(C40,'Active 1'!C$21:E$973,3,FALSE)</f>
        <v>28.530041207954884</v>
      </c>
      <c r="F40" s="5" t="s">
        <v>43</v>
      </c>
      <c r="G40" s="27" t="str">
        <f t="shared" si="4"/>
        <v>54715.3539</v>
      </c>
      <c r="H40" s="12">
        <f t="shared" si="5"/>
        <v>1578.5</v>
      </c>
      <c r="I40" s="36" t="s">
        <v>141</v>
      </c>
      <c r="J40" s="37" t="s">
        <v>142</v>
      </c>
      <c r="K40" s="36" t="s">
        <v>143</v>
      </c>
      <c r="L40" s="36" t="s">
        <v>144</v>
      </c>
      <c r="M40" s="37" t="s">
        <v>137</v>
      </c>
      <c r="N40" s="37" t="s">
        <v>138</v>
      </c>
      <c r="O40" s="38" t="s">
        <v>139</v>
      </c>
      <c r="P40" s="39" t="s">
        <v>145</v>
      </c>
    </row>
    <row r="41" spans="1:16" ht="12.75" customHeight="1" thickBot="1" x14ac:dyDescent="0.25">
      <c r="A41" s="12" t="str">
        <f t="shared" si="0"/>
        <v>BAVM 212 </v>
      </c>
      <c r="B41" s="5" t="str">
        <f t="shared" si="1"/>
        <v>I</v>
      </c>
      <c r="C41" s="12">
        <f t="shared" si="2"/>
        <v>55073.503799999999</v>
      </c>
      <c r="D41" s="27" t="str">
        <f t="shared" si="3"/>
        <v>vis</v>
      </c>
      <c r="E41" s="35">
        <f>VLOOKUP(C41,'Active 1'!C$21:E$973,3,FALSE)</f>
        <v>49.99955377225384</v>
      </c>
      <c r="F41" s="5" t="s">
        <v>43</v>
      </c>
      <c r="G41" s="27" t="str">
        <f t="shared" si="4"/>
        <v>55073.5038</v>
      </c>
      <c r="H41" s="12">
        <f t="shared" si="5"/>
        <v>1600</v>
      </c>
      <c r="I41" s="36" t="s">
        <v>146</v>
      </c>
      <c r="J41" s="37" t="s">
        <v>147</v>
      </c>
      <c r="K41" s="36" t="s">
        <v>148</v>
      </c>
      <c r="L41" s="36" t="s">
        <v>149</v>
      </c>
      <c r="M41" s="37" t="s">
        <v>137</v>
      </c>
      <c r="N41" s="37" t="s">
        <v>138</v>
      </c>
      <c r="O41" s="38" t="s">
        <v>139</v>
      </c>
      <c r="P41" s="39" t="s">
        <v>150</v>
      </c>
    </row>
    <row r="42" spans="1:16" x14ac:dyDescent="0.2">
      <c r="B42" s="5"/>
      <c r="E42" s="3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</sheetData>
  <phoneticPr fontId="8" type="noConversion"/>
  <hyperlinks>
    <hyperlink ref="P11" r:id="rId1" display="http://www.konkoly.hu/cgi-bin/IBVS?5745"/>
    <hyperlink ref="P12" r:id="rId2" display="http://www.konkoly.hu/cgi-bin/IBVS?5745"/>
    <hyperlink ref="P13" r:id="rId3" display="http://www.bav-astro.de/sfs/BAVM_link.php?BAVMnr=186"/>
    <hyperlink ref="P40" r:id="rId4" display="http://www.bav-astro.de/sfs/BAVM_link.php?BAVMnr=203"/>
    <hyperlink ref="P41" r:id="rId5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2024-02-04T04:33:04Z</dcterms:modified>
</cp:coreProperties>
</file>