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E0B4A9F-5AFC-4D06-AF6C-455DDB7EE0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2" i="1" l="1"/>
  <c r="F32" i="1" s="1"/>
  <c r="G32" i="1" s="1"/>
  <c r="K32" i="1" s="1"/>
  <c r="Q32" i="1"/>
  <c r="E31" i="1"/>
  <c r="F31" i="1" s="1"/>
  <c r="G31" i="1" s="1"/>
  <c r="K31" i="1" s="1"/>
  <c r="Q31" i="1"/>
  <c r="Q22" i="1"/>
  <c r="E30" i="1"/>
  <c r="F30" i="1" s="1"/>
  <c r="G30" i="1" s="1"/>
  <c r="J30" i="1" s="1"/>
  <c r="E24" i="1"/>
  <c r="F24" i="1" s="1"/>
  <c r="G24" i="1" s="1"/>
  <c r="K24" i="1" s="1"/>
  <c r="E25" i="1"/>
  <c r="F25" i="1" s="1"/>
  <c r="G25" i="1" s="1"/>
  <c r="K25" i="1" s="1"/>
  <c r="E22" i="1"/>
  <c r="F22" i="1" s="1"/>
  <c r="G22" i="1" s="1"/>
  <c r="K22" i="1" s="1"/>
  <c r="E23" i="1"/>
  <c r="F23" i="1" s="1"/>
  <c r="G23" i="1" s="1"/>
  <c r="J23" i="1" s="1"/>
  <c r="E26" i="1"/>
  <c r="F26" i="1" s="1"/>
  <c r="G26" i="1" s="1"/>
  <c r="J26" i="1" s="1"/>
  <c r="E27" i="1"/>
  <c r="F27" i="1" s="1"/>
  <c r="G27" i="1" s="1"/>
  <c r="J27" i="1" s="1"/>
  <c r="E28" i="1"/>
  <c r="F28" i="1" s="1"/>
  <c r="G28" i="1" s="1"/>
  <c r="J28" i="1" s="1"/>
  <c r="E29" i="1"/>
  <c r="F29" i="1" s="1"/>
  <c r="G29" i="1" s="1"/>
  <c r="J29" i="1" s="1"/>
  <c r="D9" i="1"/>
  <c r="C9" i="1"/>
  <c r="Q25" i="1"/>
  <c r="Q24" i="1"/>
  <c r="Q30" i="1"/>
  <c r="G12" i="2"/>
  <c r="C12" i="2" s="1"/>
  <c r="E12" i="2" s="1"/>
  <c r="G17" i="2"/>
  <c r="C17" i="2"/>
  <c r="E17" i="2" s="1"/>
  <c r="G16" i="2"/>
  <c r="C16" i="2" s="1"/>
  <c r="E16" i="2" s="1"/>
  <c r="G15" i="2"/>
  <c r="C15" i="2" s="1"/>
  <c r="E15" i="2" s="1"/>
  <c r="G14" i="2"/>
  <c r="C14" i="2" s="1"/>
  <c r="E14" i="2" s="1"/>
  <c r="G19" i="2"/>
  <c r="C19" i="2"/>
  <c r="E19" i="2" s="1"/>
  <c r="G18" i="2"/>
  <c r="C18" i="2"/>
  <c r="E18" i="2"/>
  <c r="G13" i="2"/>
  <c r="C13" i="2"/>
  <c r="E13" i="2" s="1"/>
  <c r="G20" i="2"/>
  <c r="C20" i="2" s="1"/>
  <c r="E20" i="2" s="1"/>
  <c r="H12" i="2"/>
  <c r="B12" i="2"/>
  <c r="D12" i="2"/>
  <c r="A12" i="2"/>
  <c r="H17" i="2"/>
  <c r="B17" i="2" s="1"/>
  <c r="D17" i="2"/>
  <c r="A17" i="2"/>
  <c r="H16" i="2"/>
  <c r="B16" i="2"/>
  <c r="D16" i="2"/>
  <c r="A16" i="2"/>
  <c r="H15" i="2"/>
  <c r="B15" i="2" s="1"/>
  <c r="D15" i="2"/>
  <c r="A15" i="2"/>
  <c r="H14" i="2"/>
  <c r="B14" i="2"/>
  <c r="D14" i="2"/>
  <c r="A14" i="2"/>
  <c r="H19" i="2"/>
  <c r="B19" i="2" s="1"/>
  <c r="D19" i="2"/>
  <c r="A19" i="2"/>
  <c r="H18" i="2"/>
  <c r="B18" i="2"/>
  <c r="D18" i="2"/>
  <c r="A18" i="2"/>
  <c r="H13" i="2"/>
  <c r="B13" i="2" s="1"/>
  <c r="D13" i="2"/>
  <c r="A13" i="2"/>
  <c r="H20" i="2"/>
  <c r="B20" i="2"/>
  <c r="D20" i="2"/>
  <c r="A20" i="2"/>
  <c r="Q28" i="1"/>
  <c r="Q29" i="1"/>
  <c r="Q23" i="1"/>
  <c r="Q26" i="1"/>
  <c r="Q27" i="1"/>
  <c r="C21" i="1"/>
  <c r="E21" i="1"/>
  <c r="F21" i="1" s="1"/>
  <c r="F16" i="1"/>
  <c r="F17" i="1" s="1"/>
  <c r="Q21" i="1"/>
  <c r="C12" i="1"/>
  <c r="C11" i="1"/>
  <c r="O32" i="1" l="1"/>
  <c r="O31" i="1"/>
  <c r="C16" i="1"/>
  <c r="D18" i="1" s="1"/>
  <c r="O25" i="1"/>
  <c r="O27" i="1"/>
  <c r="O28" i="1"/>
  <c r="O24" i="1"/>
  <c r="O29" i="1"/>
  <c r="O30" i="1"/>
  <c r="O26" i="1"/>
  <c r="C15" i="1"/>
  <c r="O22" i="1"/>
  <c r="O23" i="1"/>
  <c r="O21" i="1"/>
  <c r="G21" i="1"/>
  <c r="H21" i="1" s="1"/>
  <c r="C17" i="1"/>
  <c r="F18" i="1" l="1"/>
  <c r="F19" i="1" s="1"/>
  <c r="C18" i="1"/>
</calcChain>
</file>

<file path=xl/sharedStrings.xml><?xml version="1.0" encoding="utf-8"?>
<sst xmlns="http://schemas.openxmlformats.org/spreadsheetml/2006/main" count="161" uniqueCount="99">
  <si>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</si>
  <si>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</si>
  <si>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</si>
  <si>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</si>
  <si>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</si>
  <si>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</si>
  <si>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</si>
  <si>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</si>
  <si>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</si>
  <si>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</si>
  <si>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</si>
  <si>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</si>
  <si>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</si>
  <si>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</si>
  <si>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</si>
  <si>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</si>
  <si>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</si>
  <si>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</si>
  <si>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</si>
  <si>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</si>
  <si>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</si>
  <si>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</si>
  <si>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</si>
  <si>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</si>
  <si>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</si>
  <si>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</si>
  <si>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</si>
  <si>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</si>
  <si>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</si>
  <si>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</si>
  <si>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</si>
  <si>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</si>
  <si>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</si>
  <si>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</si>
  <si>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</si>
  <si>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</si>
  <si>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BAD</t>
  </si>
  <si>
    <t>V1437 Cyg / GSC na</t>
  </si>
  <si>
    <t>GCVS 4</t>
  </si>
  <si>
    <t>EW/KW</t>
  </si>
  <si>
    <t>IBVS 6118</t>
  </si>
  <si>
    <t>I</t>
  </si>
  <si>
    <t>IBVS 6152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</si>
  <si>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</si>
  <si>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</si>
  <si>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</si>
  <si>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</si>
  <si>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</si>
  <si>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</si>
  <si>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</si>
  <si>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</si>
  <si>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</si>
  <si>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</si>
  <si>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</si>
  <si>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</si>
  <si>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2455804.4208 </t>
  </si>
  <si>
    <t> 30.08.2011 22:05 </t>
  </si>
  <si>
    <t> -0.0723 </t>
  </si>
  <si>
    <t>C </t>
  </si>
  <si>
    <t>-I</t>
  </si>
  <si>
    <t> P.Frank </t>
  </si>
  <si>
    <t>BAVM 225 </t>
  </si>
  <si>
    <t>2455826.4652 </t>
  </si>
  <si>
    <t> 21.09.2011 23:09 </t>
  </si>
  <si>
    <t>36186</t>
  </si>
  <si>
    <t> -0.0721 </t>
  </si>
  <si>
    <t>BAVM 234 </t>
  </si>
  <si>
    <t>2455838.2826 </t>
  </si>
  <si>
    <t> 03.10.2011 18:46 </t>
  </si>
  <si>
    <t>36212</t>
  </si>
  <si>
    <t>2456167.3629 </t>
  </si>
  <si>
    <t> 27.08.2012 20:42 </t>
  </si>
  <si>
    <t>36936</t>
  </si>
  <si>
    <t> -0.0645 </t>
  </si>
  <si>
    <t>BAVM 231 </t>
  </si>
  <si>
    <t>2456474.3937 </t>
  </si>
  <si>
    <t> 30.06.2013 21:26 </t>
  </si>
  <si>
    <t>37611.5</t>
  </si>
  <si>
    <t> -0.0620 </t>
  </si>
  <si>
    <t>2456507.5746 </t>
  </si>
  <si>
    <t> 03.08.2013 01:47 </t>
  </si>
  <si>
    <t>37684.5</t>
  </si>
  <si>
    <t> -0.0611 </t>
  </si>
  <si>
    <t>2456950.2854 </t>
  </si>
  <si>
    <t> 19.10.2014 18:50 </t>
  </si>
  <si>
    <t>38658.5</t>
  </si>
  <si>
    <t> -0.0529 </t>
  </si>
  <si>
    <t>BAVM 239 </t>
  </si>
  <si>
    <t>2456984.3777 </t>
  </si>
  <si>
    <t> 22.11.2014 21:03 </t>
  </si>
  <si>
    <t>38733.5</t>
  </si>
  <si>
    <t> -0.0496 </t>
  </si>
  <si>
    <t>2457242.5473 </t>
  </si>
  <si>
    <t> 08.08.2015 01:08 </t>
  </si>
  <si>
    <t>39301.5</t>
  </si>
  <si>
    <t> -0.0474 </t>
  </si>
  <si>
    <t>BAVM 241 (=IBVS 6157) </t>
  </si>
  <si>
    <t>II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</si>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</sst>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 Unicode MS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10" fillId="0" borderId="0" xfId="0" applyFont="1" applyAlignment="1"/>
    <xf numFmtId="0" fontId="15" fillId="0" borderId="0" xfId="0" applyFont="1" applyAlignment="1"/>
    <xf numFmtId="0" fontId="16" fillId="0" borderId="0" xfId="0" applyFont="1" applyAlignment="1">
      <alignment horizontal="left" wrapText="1"/>
    </xf>
    <xf numFmtId="0" fontId="8" fillId="2" borderId="0" xfId="0" applyFont="1" applyFill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0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3" borderId="11" xfId="0" applyFont="1" applyFill="1" applyBorder="1" applyAlignment="1">
      <alignment horizontal="left" vertical="top" wrapText="1" indent="1"/>
    </xf>
    <xf numFmtId="0" fontId="5" fillId="3" borderId="11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right" vertical="top" wrapText="1"/>
    </xf>
    <xf numFmtId="0" fontId="20" fillId="3" borderId="11" xfId="7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65" fontId="23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2" fillId="0" borderId="0" xfId="0" applyFont="1" applyFill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V1437 Cyg- O-C Diagr.</a:t>
            </a:r>
          </a:p>
        </c:rich>
      </c:tx>
      <c:layout>
        <c:manualLayout>
          <c:xMode val="edge"/>
          <c:yMode val="edge"/>
          <c:x val="0.4002293577981651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94495412844037"/>
          <c:y val="0.14035127795846455"/>
          <c:w val="0.8555045871559633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36137</c:v>
                </c:pt>
                <c:pt idx="2">
                  <c:v>36185.5</c:v>
                </c:pt>
                <c:pt idx="3">
                  <c:v>36211.5</c:v>
                </c:pt>
                <c:pt idx="4">
                  <c:v>36935.5</c:v>
                </c:pt>
                <c:pt idx="5">
                  <c:v>37611</c:v>
                </c:pt>
                <c:pt idx="6">
                  <c:v>37684</c:v>
                </c:pt>
                <c:pt idx="7">
                  <c:v>38658</c:v>
                </c:pt>
                <c:pt idx="8">
                  <c:v>38733</c:v>
                </c:pt>
                <c:pt idx="9">
                  <c:v>39301</c:v>
                </c:pt>
                <c:pt idx="10">
                  <c:v>44037.5</c:v>
                </c:pt>
                <c:pt idx="11">
                  <c:v>44242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2C-40E6-9462-80FD8ECBCD7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36137</c:v>
                </c:pt>
                <c:pt idx="2">
                  <c:v>36185.5</c:v>
                </c:pt>
                <c:pt idx="3">
                  <c:v>36211.5</c:v>
                </c:pt>
                <c:pt idx="4">
                  <c:v>36935.5</c:v>
                </c:pt>
                <c:pt idx="5">
                  <c:v>37611</c:v>
                </c:pt>
                <c:pt idx="6">
                  <c:v>37684</c:v>
                </c:pt>
                <c:pt idx="7">
                  <c:v>38658</c:v>
                </c:pt>
                <c:pt idx="8">
                  <c:v>38733</c:v>
                </c:pt>
                <c:pt idx="9">
                  <c:v>39301</c:v>
                </c:pt>
                <c:pt idx="10">
                  <c:v>44037.5</c:v>
                </c:pt>
                <c:pt idx="11">
                  <c:v>44242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2C-40E6-9462-80FD8ECBCD7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36137</c:v>
                </c:pt>
                <c:pt idx="2">
                  <c:v>36185.5</c:v>
                </c:pt>
                <c:pt idx="3">
                  <c:v>36211.5</c:v>
                </c:pt>
                <c:pt idx="4">
                  <c:v>36935.5</c:v>
                </c:pt>
                <c:pt idx="5">
                  <c:v>37611</c:v>
                </c:pt>
                <c:pt idx="6">
                  <c:v>37684</c:v>
                </c:pt>
                <c:pt idx="7">
                  <c:v>38658</c:v>
                </c:pt>
                <c:pt idx="8">
                  <c:v>38733</c:v>
                </c:pt>
                <c:pt idx="9">
                  <c:v>39301</c:v>
                </c:pt>
                <c:pt idx="10">
                  <c:v>44037.5</c:v>
                </c:pt>
                <c:pt idx="11">
                  <c:v>44242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0.15512144999956945</c:v>
                </c:pt>
                <c:pt idx="5">
                  <c:v>0.16521890000149142</c:v>
                </c:pt>
                <c:pt idx="6">
                  <c:v>0.1661515999949188</c:v>
                </c:pt>
                <c:pt idx="7">
                  <c:v>0.17437420000351267</c:v>
                </c:pt>
                <c:pt idx="8">
                  <c:v>0.17766669999400619</c:v>
                </c:pt>
                <c:pt idx="9">
                  <c:v>0.17984989999968093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2C-40E6-9462-80FD8ECBCD7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36137</c:v>
                </c:pt>
                <c:pt idx="2">
                  <c:v>36185.5</c:v>
                </c:pt>
                <c:pt idx="3">
                  <c:v>36211.5</c:v>
                </c:pt>
                <c:pt idx="4">
                  <c:v>36935.5</c:v>
                </c:pt>
                <c:pt idx="5">
                  <c:v>37611</c:v>
                </c:pt>
                <c:pt idx="6">
                  <c:v>37684</c:v>
                </c:pt>
                <c:pt idx="7">
                  <c:v>38658</c:v>
                </c:pt>
                <c:pt idx="8">
                  <c:v>38733</c:v>
                </c:pt>
                <c:pt idx="9">
                  <c:v>39301</c:v>
                </c:pt>
                <c:pt idx="10">
                  <c:v>44037.5</c:v>
                </c:pt>
                <c:pt idx="11">
                  <c:v>44242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0.15494630000466714</c:v>
                </c:pt>
                <c:pt idx="3">
                  <c:v>0.15499884999735514</c:v>
                </c:pt>
                <c:pt idx="4">
                  <c:v>0.16274644999793964</c:v>
                </c:pt>
                <c:pt idx="10">
                  <c:v>0.21619625000312226</c:v>
                </c:pt>
                <c:pt idx="11">
                  <c:v>0.21833579999656649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2C-40E6-9462-80FD8ECBCD7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36137</c:v>
                </c:pt>
                <c:pt idx="2">
                  <c:v>36185.5</c:v>
                </c:pt>
                <c:pt idx="3">
                  <c:v>36211.5</c:v>
                </c:pt>
                <c:pt idx="4">
                  <c:v>36935.5</c:v>
                </c:pt>
                <c:pt idx="5">
                  <c:v>37611</c:v>
                </c:pt>
                <c:pt idx="6">
                  <c:v>37684</c:v>
                </c:pt>
                <c:pt idx="7">
                  <c:v>38658</c:v>
                </c:pt>
                <c:pt idx="8">
                  <c:v>38733</c:v>
                </c:pt>
                <c:pt idx="9">
                  <c:v>39301</c:v>
                </c:pt>
                <c:pt idx="10">
                  <c:v>44037.5</c:v>
                </c:pt>
                <c:pt idx="11">
                  <c:v>44242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2C-40E6-9462-80FD8ECBCD7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36137</c:v>
                </c:pt>
                <c:pt idx="2">
                  <c:v>36185.5</c:v>
                </c:pt>
                <c:pt idx="3">
                  <c:v>36211.5</c:v>
                </c:pt>
                <c:pt idx="4">
                  <c:v>36935.5</c:v>
                </c:pt>
                <c:pt idx="5">
                  <c:v>37611</c:v>
                </c:pt>
                <c:pt idx="6">
                  <c:v>37684</c:v>
                </c:pt>
                <c:pt idx="7">
                  <c:v>38658</c:v>
                </c:pt>
                <c:pt idx="8">
                  <c:v>38733</c:v>
                </c:pt>
                <c:pt idx="9">
                  <c:v>39301</c:v>
                </c:pt>
                <c:pt idx="10">
                  <c:v>44037.5</c:v>
                </c:pt>
                <c:pt idx="11">
                  <c:v>44242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2C-40E6-9462-80FD8ECBCD7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0</c:v>
                  </c:pt>
                  <c:pt idx="4">
                    <c:v>0</c:v>
                  </c:pt>
                  <c:pt idx="5">
                    <c:v>1.1999999999999999E-3</c:v>
                  </c:pt>
                  <c:pt idx="6">
                    <c:v>2E-3</c:v>
                  </c:pt>
                  <c:pt idx="7">
                    <c:v>5.9999999999999995E-4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36137</c:v>
                </c:pt>
                <c:pt idx="2">
                  <c:v>36185.5</c:v>
                </c:pt>
                <c:pt idx="3">
                  <c:v>36211.5</c:v>
                </c:pt>
                <c:pt idx="4">
                  <c:v>36935.5</c:v>
                </c:pt>
                <c:pt idx="5">
                  <c:v>37611</c:v>
                </c:pt>
                <c:pt idx="6">
                  <c:v>37684</c:v>
                </c:pt>
                <c:pt idx="7">
                  <c:v>38658</c:v>
                </c:pt>
                <c:pt idx="8">
                  <c:v>38733</c:v>
                </c:pt>
                <c:pt idx="9">
                  <c:v>39301</c:v>
                </c:pt>
                <c:pt idx="10">
                  <c:v>44037.5</c:v>
                </c:pt>
                <c:pt idx="11">
                  <c:v>44242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2C-40E6-9462-80FD8ECBCD7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36137</c:v>
                </c:pt>
                <c:pt idx="2">
                  <c:v>36185.5</c:v>
                </c:pt>
                <c:pt idx="3">
                  <c:v>36211.5</c:v>
                </c:pt>
                <c:pt idx="4">
                  <c:v>36935.5</c:v>
                </c:pt>
                <c:pt idx="5">
                  <c:v>37611</c:v>
                </c:pt>
                <c:pt idx="6">
                  <c:v>37684</c:v>
                </c:pt>
                <c:pt idx="7">
                  <c:v>38658</c:v>
                </c:pt>
                <c:pt idx="8">
                  <c:v>38733</c:v>
                </c:pt>
                <c:pt idx="9">
                  <c:v>39301</c:v>
                </c:pt>
                <c:pt idx="10">
                  <c:v>44037.5</c:v>
                </c:pt>
                <c:pt idx="11">
                  <c:v>44242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-0.12703005714162</c:v>
                </c:pt>
                <c:pt idx="1">
                  <c:v>0.15502496146318404</c:v>
                </c:pt>
                <c:pt idx="2">
                  <c:v>0.15540351165833952</c:v>
                </c:pt>
                <c:pt idx="3">
                  <c:v>0.15560644578357749</c:v>
                </c:pt>
                <c:pt idx="4">
                  <c:v>0.16125738065558895</c:v>
                </c:pt>
                <c:pt idx="5">
                  <c:v>0.16652976533244493</c:v>
                </c:pt>
                <c:pt idx="6">
                  <c:v>0.16709954191484386</c:v>
                </c:pt>
                <c:pt idx="7">
                  <c:v>0.17470176645260513</c:v>
                </c:pt>
                <c:pt idx="8">
                  <c:v>0.17528715335233011</c:v>
                </c:pt>
                <c:pt idx="9">
                  <c:v>0.17972048347291367</c:v>
                </c:pt>
                <c:pt idx="10">
                  <c:v>0.21668961748020962</c:v>
                </c:pt>
                <c:pt idx="11">
                  <c:v>0.21828577242679301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2C-40E6-9462-80FD8ECBCD7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36137</c:v>
                </c:pt>
                <c:pt idx="2">
                  <c:v>36185.5</c:v>
                </c:pt>
                <c:pt idx="3">
                  <c:v>36211.5</c:v>
                </c:pt>
                <c:pt idx="4">
                  <c:v>36935.5</c:v>
                </c:pt>
                <c:pt idx="5">
                  <c:v>37611</c:v>
                </c:pt>
                <c:pt idx="6">
                  <c:v>37684</c:v>
                </c:pt>
                <c:pt idx="7">
                  <c:v>38658</c:v>
                </c:pt>
                <c:pt idx="8">
                  <c:v>38733</c:v>
                </c:pt>
                <c:pt idx="9">
                  <c:v>39301</c:v>
                </c:pt>
                <c:pt idx="10">
                  <c:v>44037.5</c:v>
                </c:pt>
                <c:pt idx="11">
                  <c:v>44242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E2C-40E6-9462-80FD8ECBC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456928"/>
        <c:axId val="1"/>
      </c:scatterChart>
      <c:valAx>
        <c:axId val="749456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8256880733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72477064220183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456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128440366972475"/>
          <c:y val="0.92397937099967764"/>
          <c:w val="0.5447247706422018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20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6729C1D-F3D2-8D96-8BD3-08A124019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9" TargetMode="External"/><Relationship Id="rId3" Type="http://schemas.openxmlformats.org/officeDocument/2006/relationships/hyperlink" Target="http://www.bav-astro.de/sfs/BAVM_link.php?BAVMnr=225" TargetMode="External"/><Relationship Id="rId7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www.bav-astro.de/sfs/BAVM_link.php?BAVMnr=234" TargetMode="External"/><Relationship Id="rId1" Type="http://schemas.openxmlformats.org/officeDocument/2006/relationships/hyperlink" Target="http://www.bav-astro.de/sfs/BAVM_link.php?BAVMnr=225" TargetMode="External"/><Relationship Id="rId6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bav-astro.de/sfs/BAVM_link.php?BAVMnr=234" TargetMode="External"/><Relationship Id="rId4" Type="http://schemas.openxmlformats.org/officeDocument/2006/relationships/hyperlink" Target="http://www.bav-astro.de/sfs/BAVM_link.php?BAVMnr=231" TargetMode="External"/><Relationship Id="rId9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>
      <c r="A1" s="1" t="s">
        <v>37</v>
      </c>
    </row>
    <row r="2" spans="1:6">
      <c r="A2" t="s">
        <v>23</v>
      </c>
      <c r="B2" t="s">
        <v>39</v>
      </c>
      <c r="D2" s="3"/>
    </row>
    <row r="3" spans="1:6" ht="13.5" thickBot="1"/>
    <row r="4" spans="1:6" ht="14.25" thickTop="1" thickBot="1">
      <c r="A4" s="5" t="s">
        <v>0</v>
      </c>
      <c r="C4" s="8">
        <v>39379.273000000001</v>
      </c>
      <c r="D4" s="9">
        <v>0.45452009999999998</v>
      </c>
    </row>
    <row r="5" spans="1:6" ht="13.5" thickTop="1">
      <c r="A5" s="11" t="s">
        <v>28</v>
      </c>
      <c r="B5" s="12"/>
      <c r="C5" s="13">
        <v>-9.5</v>
      </c>
      <c r="D5" s="12" t="s">
        <v>29</v>
      </c>
    </row>
    <row r="6" spans="1:6">
      <c r="A6" s="5" t="s">
        <v>1</v>
      </c>
    </row>
    <row r="7" spans="1:6">
      <c r="A7" t="s">
        <v>2</v>
      </c>
      <c r="C7">
        <v>39379.273000000001</v>
      </c>
      <c r="D7" s="29" t="s">
        <v>38</v>
      </c>
    </row>
    <row r="8" spans="1:6">
      <c r="A8" t="s">
        <v>3</v>
      </c>
      <c r="C8" s="30">
        <v>0.45452009999999998</v>
      </c>
      <c r="D8" s="29" t="s">
        <v>38</v>
      </c>
    </row>
    <row r="9" spans="1:6">
      <c r="A9" s="26" t="s">
        <v>32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>
      <c r="A10" s="12"/>
      <c r="B10" s="12"/>
      <c r="C10" s="4" t="s">
        <v>19</v>
      </c>
      <c r="D10" s="4" t="s">
        <v>20</v>
      </c>
      <c r="E10" s="12"/>
    </row>
    <row r="11" spans="1:6">
      <c r="A11" s="12" t="s">
        <v>15</v>
      </c>
      <c r="B11" s="12"/>
      <c r="C11" s="23">
        <f ca="1">INTERCEPT(INDIRECT($D$9):G992,INDIRECT($C$9):F992)</f>
        <v>-0.12703005714162</v>
      </c>
      <c r="D11" s="3"/>
      <c r="E11" s="12"/>
    </row>
    <row r="12" spans="1:6">
      <c r="A12" s="12" t="s">
        <v>16</v>
      </c>
      <c r="B12" s="12"/>
      <c r="C12" s="23">
        <f ca="1">SLOPE(INDIRECT($D$9):G992,INDIRECT($C$9):F992)</f>
        <v>7.8051586629992537E-6</v>
      </c>
      <c r="D12" s="3"/>
      <c r="E12" s="12"/>
    </row>
    <row r="13" spans="1:6">
      <c r="A13" s="12" t="s">
        <v>18</v>
      </c>
      <c r="B13" s="12"/>
      <c r="C13" s="3" t="s">
        <v>13</v>
      </c>
    </row>
    <row r="14" spans="1:6">
      <c r="A14" s="12"/>
      <c r="B14" s="12"/>
      <c r="C14" s="12"/>
    </row>
    <row r="15" spans="1:6">
      <c r="A15" s="14" t="s">
        <v>17</v>
      </c>
      <c r="B15" s="12"/>
      <c r="C15" s="15">
        <f ca="1">(C7+C11)+(C8+C12)*INT(MAX(F21:F3533))</f>
        <v>59488.369549972427</v>
      </c>
      <c r="E15" s="16" t="s">
        <v>33</v>
      </c>
      <c r="F15" s="13">
        <v>1</v>
      </c>
    </row>
    <row r="16" spans="1:6">
      <c r="A16" s="18" t="s">
        <v>4</v>
      </c>
      <c r="B16" s="12"/>
      <c r="C16" s="19">
        <f ca="1">+C8+C12</f>
        <v>0.45452790515866298</v>
      </c>
      <c r="E16" s="16" t="s">
        <v>30</v>
      </c>
      <c r="F16" s="17">
        <f ca="1">NOW()+15018.5+$C$5/24</f>
        <v>60344.740375925925</v>
      </c>
    </row>
    <row r="17" spans="1:21" ht="13.5" thickBot="1">
      <c r="A17" s="16" t="s">
        <v>27</v>
      </c>
      <c r="B17" s="12"/>
      <c r="C17" s="12">
        <f>COUNT(C21:C2191)</f>
        <v>12</v>
      </c>
      <c r="E17" s="16" t="s">
        <v>34</v>
      </c>
      <c r="F17" s="17">
        <f ca="1">ROUND(2*(F16-$C$7)/$C$8,0)/2+F15</f>
        <v>46127.5</v>
      </c>
    </row>
    <row r="18" spans="1:21" ht="14.25" thickTop="1" thickBot="1">
      <c r="A18" s="18" t="s">
        <v>5</v>
      </c>
      <c r="B18" s="12"/>
      <c r="C18" s="21">
        <f ca="1">+C15</f>
        <v>59488.369549972427</v>
      </c>
      <c r="D18" s="22">
        <f ca="1">+C16</f>
        <v>0.45452790515866298</v>
      </c>
      <c r="E18" s="16" t="s">
        <v>35</v>
      </c>
      <c r="F18" s="25">
        <f ca="1">ROUND(2*(F16-$C$15)/$C$16,0)/2+F15</f>
        <v>1885</v>
      </c>
    </row>
    <row r="19" spans="1:21" ht="13.5" thickTop="1">
      <c r="E19" s="16" t="s">
        <v>31</v>
      </c>
      <c r="F19" s="20">
        <f ca="1">+$C$15+$C$16*F18-15018.5-$C$5/24</f>
        <v>45327.050484529842</v>
      </c>
    </row>
    <row r="20" spans="1:21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51</v>
      </c>
      <c r="I20" s="7" t="s">
        <v>54</v>
      </c>
      <c r="J20" s="7" t="s">
        <v>48</v>
      </c>
      <c r="K20" s="7" t="s">
        <v>46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28" t="s">
        <v>36</v>
      </c>
    </row>
    <row r="21" spans="1:21">
      <c r="A21" s="29" t="s">
        <v>38</v>
      </c>
      <c r="C21" s="10">
        <f>+C$7</f>
        <v>39379.273000000001</v>
      </c>
      <c r="D21" s="10" t="s">
        <v>13</v>
      </c>
      <c r="E21">
        <f t="shared" ref="E21:E30" si="0">+(C21-C$7)/C$8</f>
        <v>0</v>
      </c>
      <c r="F21">
        <f>ROUND(2*E21,0)/2</f>
        <v>0</v>
      </c>
      <c r="G21">
        <f t="shared" ref="G21:G30" si="1">+C21-(C$7+F21*C$8)</f>
        <v>0</v>
      </c>
      <c r="H21">
        <f>+G21</f>
        <v>0</v>
      </c>
      <c r="O21">
        <f t="shared" ref="O21:O30" ca="1" si="2">+C$11+C$12*$F21</f>
        <v>-0.12703005714162</v>
      </c>
      <c r="Q21" s="2">
        <f t="shared" ref="Q21:Q30" si="3">+C21-15018.5</f>
        <v>24360.773000000001</v>
      </c>
      <c r="R21" s="2"/>
      <c r="S21" s="2"/>
      <c r="T21" s="2"/>
    </row>
    <row r="22" spans="1:21">
      <c r="A22" s="53" t="s">
        <v>61</v>
      </c>
      <c r="B22" s="55" t="s">
        <v>97</v>
      </c>
      <c r="C22" s="54">
        <v>55804.4208</v>
      </c>
      <c r="D22" s="54" t="s">
        <v>54</v>
      </c>
      <c r="E22">
        <f t="shared" si="0"/>
        <v>36137.340900875446</v>
      </c>
      <c r="F22" s="32">
        <f t="shared" ref="F22:F30" si="4">ROUND(2*E22,0)/2-0.5</f>
        <v>36137</v>
      </c>
      <c r="G22">
        <f t="shared" si="1"/>
        <v>0.15494630000466714</v>
      </c>
      <c r="K22">
        <f>+G22</f>
        <v>0.15494630000466714</v>
      </c>
      <c r="O22">
        <f t="shared" ca="1" si="2"/>
        <v>0.15502496146318404</v>
      </c>
      <c r="Q22" s="2">
        <f t="shared" si="3"/>
        <v>40785.9208</v>
      </c>
      <c r="R22" s="2"/>
      <c r="S22" s="2"/>
      <c r="T22" s="2"/>
    </row>
    <row r="23" spans="1:21">
      <c r="A23" s="33" t="s">
        <v>40</v>
      </c>
      <c r="B23" s="34" t="s">
        <v>41</v>
      </c>
      <c r="C23" s="35">
        <v>55826.465199999999</v>
      </c>
      <c r="D23" s="36">
        <v>1.4E-3</v>
      </c>
      <c r="E23">
        <f t="shared" si="0"/>
        <v>36185.84128622694</v>
      </c>
      <c r="F23" s="32">
        <f t="shared" si="4"/>
        <v>36185.5</v>
      </c>
      <c r="G23">
        <f t="shared" si="1"/>
        <v>0.15512144999956945</v>
      </c>
      <c r="J23">
        <f>+G23</f>
        <v>0.15512144999956945</v>
      </c>
      <c r="O23">
        <f t="shared" ca="1" si="2"/>
        <v>0.15540351165833952</v>
      </c>
      <c r="Q23" s="2">
        <f t="shared" si="3"/>
        <v>40807.965199999999</v>
      </c>
      <c r="R23" s="2"/>
      <c r="S23" s="2"/>
      <c r="T23" s="2"/>
    </row>
    <row r="24" spans="1:21">
      <c r="A24" s="53" t="s">
        <v>61</v>
      </c>
      <c r="B24" s="55" t="s">
        <v>41</v>
      </c>
      <c r="C24" s="54">
        <v>55838.282599999999</v>
      </c>
      <c r="D24" s="54" t="s">
        <v>54</v>
      </c>
      <c r="E24">
        <f t="shared" si="0"/>
        <v>36211.841016491897</v>
      </c>
      <c r="F24" s="32">
        <f t="shared" si="4"/>
        <v>36211.5</v>
      </c>
      <c r="G24">
        <f t="shared" si="1"/>
        <v>0.15499884999735514</v>
      </c>
      <c r="K24">
        <f>+G24</f>
        <v>0.15499884999735514</v>
      </c>
      <c r="O24">
        <f t="shared" ca="1" si="2"/>
        <v>0.15560644578357749</v>
      </c>
      <c r="Q24" s="2">
        <f t="shared" si="3"/>
        <v>40819.782599999999</v>
      </c>
      <c r="R24" s="2"/>
      <c r="S24" s="2"/>
      <c r="T24" s="2"/>
    </row>
    <row r="25" spans="1:21">
      <c r="A25" s="53" t="s">
        <v>74</v>
      </c>
      <c r="B25" s="55" t="s">
        <v>41</v>
      </c>
      <c r="C25" s="54">
        <v>56167.3629</v>
      </c>
      <c r="D25" s="54" t="s">
        <v>54</v>
      </c>
      <c r="E25">
        <f t="shared" si="0"/>
        <v>36935.858062162704</v>
      </c>
      <c r="F25" s="32">
        <f t="shared" si="4"/>
        <v>36935.5</v>
      </c>
      <c r="G25">
        <f t="shared" si="1"/>
        <v>0.16274644999793964</v>
      </c>
      <c r="K25">
        <f>+G25</f>
        <v>0.16274644999793964</v>
      </c>
      <c r="O25">
        <f t="shared" ca="1" si="2"/>
        <v>0.16125738065558895</v>
      </c>
      <c r="Q25" s="2">
        <f t="shared" si="3"/>
        <v>41148.8629</v>
      </c>
      <c r="R25" s="2"/>
      <c r="S25" s="2"/>
      <c r="T25" s="2"/>
    </row>
    <row r="26" spans="1:21">
      <c r="A26" s="33" t="s">
        <v>40</v>
      </c>
      <c r="B26" s="34" t="s">
        <v>41</v>
      </c>
      <c r="C26" s="35">
        <v>56474.393700000001</v>
      </c>
      <c r="D26" s="36">
        <v>1.1999999999999999E-3</v>
      </c>
      <c r="E26">
        <f t="shared" si="0"/>
        <v>37611.363501856133</v>
      </c>
      <c r="F26" s="32">
        <f t="shared" si="4"/>
        <v>37611</v>
      </c>
      <c r="G26">
        <f t="shared" si="1"/>
        <v>0.16521890000149142</v>
      </c>
      <c r="J26">
        <f t="shared" ref="J26:J32" si="5">+G26</f>
        <v>0.16521890000149142</v>
      </c>
      <c r="O26">
        <f t="shared" ca="1" si="2"/>
        <v>0.16652976533244493</v>
      </c>
      <c r="Q26" s="2">
        <f t="shared" si="3"/>
        <v>41455.893700000001</v>
      </c>
      <c r="R26" s="2"/>
      <c r="S26" s="2"/>
      <c r="T26" s="2"/>
    </row>
    <row r="27" spans="1:21">
      <c r="A27" s="33" t="s">
        <v>40</v>
      </c>
      <c r="B27" s="34" t="s">
        <v>41</v>
      </c>
      <c r="C27" s="35">
        <v>56507.5746</v>
      </c>
      <c r="D27" s="36">
        <v>2E-3</v>
      </c>
      <c r="E27">
        <f t="shared" si="0"/>
        <v>37684.365553910597</v>
      </c>
      <c r="F27" s="32">
        <f t="shared" si="4"/>
        <v>37684</v>
      </c>
      <c r="G27">
        <f t="shared" si="1"/>
        <v>0.1661515999949188</v>
      </c>
      <c r="J27">
        <f t="shared" si="5"/>
        <v>0.1661515999949188</v>
      </c>
      <c r="O27">
        <f t="shared" ca="1" si="2"/>
        <v>0.16709954191484386</v>
      </c>
      <c r="Q27" s="2">
        <f t="shared" si="3"/>
        <v>41489.0746</v>
      </c>
      <c r="R27" s="2"/>
      <c r="S27" s="2"/>
      <c r="T27" s="2"/>
    </row>
    <row r="28" spans="1:21">
      <c r="A28" s="31" t="s">
        <v>42</v>
      </c>
      <c r="B28" s="37"/>
      <c r="C28" s="31">
        <v>56950.285400000001</v>
      </c>
      <c r="D28" s="31">
        <v>5.9999999999999995E-4</v>
      </c>
      <c r="E28">
        <f t="shared" si="0"/>
        <v>38658.383644639696</v>
      </c>
      <c r="F28" s="32">
        <f t="shared" si="4"/>
        <v>38658</v>
      </c>
      <c r="G28">
        <f t="shared" si="1"/>
        <v>0.17437420000351267</v>
      </c>
      <c r="J28">
        <f t="shared" si="5"/>
        <v>0.17437420000351267</v>
      </c>
      <c r="O28">
        <f t="shared" ca="1" si="2"/>
        <v>0.17470176645260513</v>
      </c>
      <c r="Q28" s="2">
        <f t="shared" si="3"/>
        <v>41931.785400000001</v>
      </c>
      <c r="R28" s="2"/>
      <c r="S28" s="2"/>
      <c r="T28" s="2"/>
    </row>
    <row r="29" spans="1:21">
      <c r="A29" s="31" t="s">
        <v>42</v>
      </c>
      <c r="B29" s="37"/>
      <c r="C29" s="31">
        <v>56984.377699999997</v>
      </c>
      <c r="D29" s="31">
        <v>1.8E-3</v>
      </c>
      <c r="E29">
        <f t="shared" si="0"/>
        <v>38733.390888543756</v>
      </c>
      <c r="F29" s="32">
        <f t="shared" si="4"/>
        <v>38733</v>
      </c>
      <c r="G29">
        <f t="shared" si="1"/>
        <v>0.17766669999400619</v>
      </c>
      <c r="J29">
        <f t="shared" si="5"/>
        <v>0.17766669999400619</v>
      </c>
      <c r="O29">
        <f t="shared" ca="1" si="2"/>
        <v>0.17528715335233011</v>
      </c>
      <c r="Q29" s="2">
        <f t="shared" si="3"/>
        <v>41965.877699999997</v>
      </c>
      <c r="R29" s="2"/>
      <c r="S29" s="2"/>
      <c r="T29" s="2"/>
    </row>
    <row r="30" spans="1:21">
      <c r="A30" s="38" t="s">
        <v>43</v>
      </c>
      <c r="B30" s="39"/>
      <c r="C30" s="38">
        <v>57242.547299999998</v>
      </c>
      <c r="D30" s="38">
        <v>5.0000000000000001E-4</v>
      </c>
      <c r="E30">
        <f t="shared" si="0"/>
        <v>39301.395691851685</v>
      </c>
      <c r="F30" s="32">
        <f t="shared" si="4"/>
        <v>39301</v>
      </c>
      <c r="G30">
        <f t="shared" si="1"/>
        <v>0.17984989999968093</v>
      </c>
      <c r="J30">
        <f t="shared" si="5"/>
        <v>0.17984989999968093</v>
      </c>
      <c r="O30">
        <f t="shared" ca="1" si="2"/>
        <v>0.17972048347291367</v>
      </c>
      <c r="Q30" s="2">
        <f t="shared" si="3"/>
        <v>42224.047299999998</v>
      </c>
      <c r="R30" s="2"/>
      <c r="S30" s="2"/>
      <c r="T30" s="2"/>
    </row>
    <row r="31" spans="1:21">
      <c r="A31" s="56" t="s">
        <v>98</v>
      </c>
      <c r="B31" s="57" t="s">
        <v>41</v>
      </c>
      <c r="C31" s="58">
        <v>59395.418100000003</v>
      </c>
      <c r="D31" s="59">
        <v>3.5000000000000001E-3</v>
      </c>
      <c r="E31">
        <f t="shared" ref="E31" si="6">+(C31-C$7)/C$8</f>
        <v>44037.975658282223</v>
      </c>
      <c r="F31" s="60">
        <f t="shared" ref="F31" si="7">ROUND(2*E31,0)/2-0.5</f>
        <v>44037.5</v>
      </c>
      <c r="G31">
        <f t="shared" ref="G31" si="8">+C31-(C$7+F31*C$8)</f>
        <v>0.21619625000312226</v>
      </c>
      <c r="K31">
        <f>+G31</f>
        <v>0.21619625000312226</v>
      </c>
      <c r="O31">
        <f t="shared" ref="O31" ca="1" si="9">+C$11+C$12*$F31</f>
        <v>0.21668961748020962</v>
      </c>
      <c r="Q31" s="2">
        <f t="shared" ref="Q31" si="10">+C31-15018.5</f>
        <v>44376.918100000003</v>
      </c>
      <c r="R31" s="2"/>
      <c r="S31" s="2"/>
      <c r="T31" s="2"/>
    </row>
    <row r="32" spans="1:21">
      <c r="A32" s="56" t="s">
        <v>98</v>
      </c>
      <c r="B32" s="57" t="s">
        <v>41</v>
      </c>
      <c r="C32" s="58">
        <v>59488.369599999998</v>
      </c>
      <c r="D32" s="59">
        <v>3.5000000000000001E-3</v>
      </c>
      <c r="E32">
        <f t="shared" ref="E32" si="11">+(C32-C$7)/C$8</f>
        <v>44242.480365554788</v>
      </c>
      <c r="F32" s="60">
        <f t="shared" ref="F32" si="12">ROUND(2*E32,0)/2-0.5</f>
        <v>44242</v>
      </c>
      <c r="G32">
        <f t="shared" ref="G32" si="13">+C32-(C$7+F32*C$8)</f>
        <v>0.21833579999656649</v>
      </c>
      <c r="K32">
        <f>+G32</f>
        <v>0.21833579999656649</v>
      </c>
      <c r="O32">
        <f t="shared" ref="O32" ca="1" si="14">+C$11+C$12*$F32</f>
        <v>0.21828577242679301</v>
      </c>
      <c r="Q32" s="2">
        <f t="shared" ref="Q32" si="15">+C32-15018.5</f>
        <v>44469.869599999998</v>
      </c>
      <c r="R32" s="2"/>
      <c r="S32" s="2"/>
      <c r="T32" s="2"/>
    </row>
    <row r="33" spans="3:20">
      <c r="C33" s="10"/>
      <c r="D33" s="10"/>
      <c r="Q33" s="2"/>
      <c r="R33" s="2"/>
      <c r="S33" s="2"/>
      <c r="T33" s="2"/>
    </row>
    <row r="34" spans="3:20">
      <c r="C34" s="10"/>
      <c r="D34" s="10"/>
    </row>
    <row r="35" spans="3:20">
      <c r="C35" s="10"/>
      <c r="D35" s="10"/>
    </row>
    <row r="36" spans="3:20">
      <c r="C36" s="10"/>
      <c r="D36" s="10"/>
    </row>
    <row r="37" spans="3:20">
      <c r="C37" s="10"/>
      <c r="D37" s="10"/>
    </row>
    <row r="38" spans="3:20">
      <c r="C38" s="10"/>
      <c r="D38" s="10"/>
    </row>
    <row r="39" spans="3:20">
      <c r="C39" s="10"/>
      <c r="D39" s="10"/>
    </row>
    <row r="40" spans="3:20">
      <c r="C40" s="10"/>
      <c r="D40" s="10"/>
    </row>
    <row r="41" spans="3:20">
      <c r="C41" s="10"/>
      <c r="D41" s="10"/>
    </row>
    <row r="42" spans="3:20">
      <c r="C42" s="10"/>
      <c r="D42" s="10"/>
    </row>
    <row r="43" spans="3:20">
      <c r="C43" s="10"/>
      <c r="D43" s="10"/>
    </row>
    <row r="44" spans="3:20">
      <c r="C44" s="10"/>
      <c r="D44" s="10"/>
    </row>
    <row r="45" spans="3:20">
      <c r="C45" s="10"/>
      <c r="D45" s="10"/>
    </row>
    <row r="46" spans="3:20">
      <c r="C46" s="10"/>
      <c r="D46" s="10"/>
    </row>
    <row r="47" spans="3:20">
      <c r="C47" s="10"/>
      <c r="D47" s="10"/>
    </row>
    <row r="48" spans="3:20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95"/>
  <sheetViews>
    <sheetView workbookViewId="0">
      <selection activeCell="A18" sqref="A18:D20"/>
    </sheetView>
  </sheetViews>
  <sheetFormatPr defaultRowHeight="12.75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40" t="s">
        <v>44</v>
      </c>
      <c r="I1" s="41" t="s">
        <v>45</v>
      </c>
      <c r="J1" s="42" t="s">
        <v>46</v>
      </c>
    </row>
    <row r="2" spans="1:16">
      <c r="I2" s="43" t="s">
        <v>47</v>
      </c>
      <c r="J2" s="44" t="s">
        <v>48</v>
      </c>
    </row>
    <row r="3" spans="1:16">
      <c r="A3" s="45" t="s">
        <v>49</v>
      </c>
      <c r="I3" s="43" t="s">
        <v>50</v>
      </c>
      <c r="J3" s="44" t="s">
        <v>51</v>
      </c>
    </row>
    <row r="4" spans="1:16">
      <c r="I4" s="43" t="s">
        <v>52</v>
      </c>
      <c r="J4" s="44" t="s">
        <v>51</v>
      </c>
    </row>
    <row r="5" spans="1:16" ht="13.5" thickBot="1">
      <c r="I5" s="46" t="s">
        <v>53</v>
      </c>
      <c r="J5" s="47" t="s">
        <v>54</v>
      </c>
    </row>
    <row r="11" spans="1:16" ht="13.5" thickBot="1"/>
    <row r="12" spans="1:16" ht="12.75" customHeight="1" thickBot="1">
      <c r="A12" s="10" t="str">
        <f t="shared" ref="A12:A20" si="0">P12</f>
        <v>BAVM 241 (=IBVS 6157) </v>
      </c>
      <c r="B12" s="3" t="str">
        <f t="shared" ref="B12:B20" si="1">IF(H12=INT(H12),"I","II")</f>
        <v>II</v>
      </c>
      <c r="C12" s="10">
        <f t="shared" ref="C12:C20" si="2">1*G12</f>
        <v>57242.547299999998</v>
      </c>
      <c r="D12" s="12" t="str">
        <f t="shared" ref="D12:D20" si="3">VLOOKUP(F12,I$1:J$5,2,FALSE)</f>
        <v>vis</v>
      </c>
      <c r="E12" s="48">
        <f>VLOOKUP(C12,Active!C$21:E$973,3,FALSE)</f>
        <v>39301.395691851685</v>
      </c>
      <c r="F12" s="3" t="s">
        <v>53</v>
      </c>
      <c r="G12" s="12" t="str">
        <f t="shared" ref="G12:G20" si="4">MID(I12,3,LEN(I12)-3)</f>
        <v>57242.5473</v>
      </c>
      <c r="H12" s="10">
        <f t="shared" ref="H12:H20" si="5">1*K12</f>
        <v>39301.5</v>
      </c>
      <c r="I12" s="49" t="s">
        <v>92</v>
      </c>
      <c r="J12" s="50" t="s">
        <v>93</v>
      </c>
      <c r="K12" s="49" t="s">
        <v>94</v>
      </c>
      <c r="L12" s="49" t="s">
        <v>95</v>
      </c>
      <c r="M12" s="50" t="s">
        <v>58</v>
      </c>
      <c r="N12" s="50" t="s">
        <v>59</v>
      </c>
      <c r="O12" s="51" t="s">
        <v>60</v>
      </c>
      <c r="P12" s="52" t="s">
        <v>96</v>
      </c>
    </row>
    <row r="13" spans="1:16" ht="12.75" customHeight="1" thickBot="1">
      <c r="A13" s="10" t="str">
        <f t="shared" si="0"/>
        <v>BAVM 234 </v>
      </c>
      <c r="B13" s="3" t="str">
        <f t="shared" si="1"/>
        <v>I</v>
      </c>
      <c r="C13" s="10">
        <f t="shared" si="2"/>
        <v>55826.465199999999</v>
      </c>
      <c r="D13" s="12" t="str">
        <f t="shared" si="3"/>
        <v>vis</v>
      </c>
      <c r="E13" s="48">
        <f>VLOOKUP(C13,Active!C$21:E$973,3,FALSE)</f>
        <v>36185.84128622694</v>
      </c>
      <c r="F13" s="3" t="s">
        <v>53</v>
      </c>
      <c r="G13" s="12" t="str">
        <f t="shared" si="4"/>
        <v>55826.4652</v>
      </c>
      <c r="H13" s="10">
        <f t="shared" si="5"/>
        <v>36186</v>
      </c>
      <c r="I13" s="49" t="s">
        <v>62</v>
      </c>
      <c r="J13" s="50" t="s">
        <v>63</v>
      </c>
      <c r="K13" s="49" t="s">
        <v>64</v>
      </c>
      <c r="L13" s="49" t="s">
        <v>65</v>
      </c>
      <c r="M13" s="50" t="s">
        <v>58</v>
      </c>
      <c r="N13" s="50" t="s">
        <v>59</v>
      </c>
      <c r="O13" s="51" t="s">
        <v>60</v>
      </c>
      <c r="P13" s="52" t="s">
        <v>66</v>
      </c>
    </row>
    <row r="14" spans="1:16" ht="12.75" customHeight="1" thickBot="1">
      <c r="A14" s="10" t="str">
        <f t="shared" si="0"/>
        <v>BAVM 234 </v>
      </c>
      <c r="B14" s="3" t="str">
        <f t="shared" si="1"/>
        <v>II</v>
      </c>
      <c r="C14" s="10">
        <f t="shared" si="2"/>
        <v>56474.393700000001</v>
      </c>
      <c r="D14" s="12" t="str">
        <f t="shared" si="3"/>
        <v>vis</v>
      </c>
      <c r="E14" s="48">
        <f>VLOOKUP(C14,Active!C$21:E$973,3,FALSE)</f>
        <v>37611.363501856133</v>
      </c>
      <c r="F14" s="3" t="s">
        <v>53</v>
      </c>
      <c r="G14" s="12" t="str">
        <f t="shared" si="4"/>
        <v>56474.3937</v>
      </c>
      <c r="H14" s="10">
        <f t="shared" si="5"/>
        <v>37611.5</v>
      </c>
      <c r="I14" s="49" t="s">
        <v>75</v>
      </c>
      <c r="J14" s="50" t="s">
        <v>76</v>
      </c>
      <c r="K14" s="49" t="s">
        <v>77</v>
      </c>
      <c r="L14" s="49" t="s">
        <v>78</v>
      </c>
      <c r="M14" s="50" t="s">
        <v>58</v>
      </c>
      <c r="N14" s="50" t="s">
        <v>59</v>
      </c>
      <c r="O14" s="51" t="s">
        <v>60</v>
      </c>
      <c r="P14" s="52" t="s">
        <v>66</v>
      </c>
    </row>
    <row r="15" spans="1:16" ht="12.75" customHeight="1" thickBot="1">
      <c r="A15" s="10" t="str">
        <f t="shared" si="0"/>
        <v>BAVM 234 </v>
      </c>
      <c r="B15" s="3" t="str">
        <f t="shared" si="1"/>
        <v>II</v>
      </c>
      <c r="C15" s="10">
        <f t="shared" si="2"/>
        <v>56507.5746</v>
      </c>
      <c r="D15" s="12" t="str">
        <f t="shared" si="3"/>
        <v>vis</v>
      </c>
      <c r="E15" s="48">
        <f>VLOOKUP(C15,Active!C$21:E$973,3,FALSE)</f>
        <v>37684.365553910597</v>
      </c>
      <c r="F15" s="3" t="s">
        <v>53</v>
      </c>
      <c r="G15" s="12" t="str">
        <f t="shared" si="4"/>
        <v>56507.5746</v>
      </c>
      <c r="H15" s="10">
        <f t="shared" si="5"/>
        <v>37684.5</v>
      </c>
      <c r="I15" s="49" t="s">
        <v>79</v>
      </c>
      <c r="J15" s="50" t="s">
        <v>80</v>
      </c>
      <c r="K15" s="49" t="s">
        <v>81</v>
      </c>
      <c r="L15" s="49" t="s">
        <v>82</v>
      </c>
      <c r="M15" s="50" t="s">
        <v>58</v>
      </c>
      <c r="N15" s="50" t="s">
        <v>59</v>
      </c>
      <c r="O15" s="51" t="s">
        <v>60</v>
      </c>
      <c r="P15" s="52" t="s">
        <v>66</v>
      </c>
    </row>
    <row r="16" spans="1:16" ht="12.75" customHeight="1" thickBot="1">
      <c r="A16" s="10" t="str">
        <f t="shared" si="0"/>
        <v>BAVM 239 </v>
      </c>
      <c r="B16" s="3" t="str">
        <f t="shared" si="1"/>
        <v>II</v>
      </c>
      <c r="C16" s="10">
        <f t="shared" si="2"/>
        <v>56950.285400000001</v>
      </c>
      <c r="D16" s="12" t="str">
        <f t="shared" si="3"/>
        <v>vis</v>
      </c>
      <c r="E16" s="48">
        <f>VLOOKUP(C16,Active!C$21:E$973,3,FALSE)</f>
        <v>38658.383644639696</v>
      </c>
      <c r="F16" s="3" t="s">
        <v>53</v>
      </c>
      <c r="G16" s="12" t="str">
        <f t="shared" si="4"/>
        <v>56950.2854</v>
      </c>
      <c r="H16" s="10">
        <f t="shared" si="5"/>
        <v>38658.5</v>
      </c>
      <c r="I16" s="49" t="s">
        <v>83</v>
      </c>
      <c r="J16" s="50" t="s">
        <v>84</v>
      </c>
      <c r="K16" s="49" t="s">
        <v>85</v>
      </c>
      <c r="L16" s="49" t="s">
        <v>86</v>
      </c>
      <c r="M16" s="50" t="s">
        <v>58</v>
      </c>
      <c r="N16" s="50" t="s">
        <v>59</v>
      </c>
      <c r="O16" s="51" t="s">
        <v>60</v>
      </c>
      <c r="P16" s="52" t="s">
        <v>87</v>
      </c>
    </row>
    <row r="17" spans="1:16" ht="12.75" customHeight="1" thickBot="1">
      <c r="A17" s="10" t="str">
        <f t="shared" si="0"/>
        <v>BAVM 239 </v>
      </c>
      <c r="B17" s="3" t="str">
        <f t="shared" si="1"/>
        <v>II</v>
      </c>
      <c r="C17" s="10">
        <f t="shared" si="2"/>
        <v>56984.377699999997</v>
      </c>
      <c r="D17" s="12" t="str">
        <f t="shared" si="3"/>
        <v>vis</v>
      </c>
      <c r="E17" s="48">
        <f>VLOOKUP(C17,Active!C$21:E$973,3,FALSE)</f>
        <v>38733.390888543756</v>
      </c>
      <c r="F17" s="3" t="s">
        <v>53</v>
      </c>
      <c r="G17" s="12" t="str">
        <f t="shared" si="4"/>
        <v>56984.3777</v>
      </c>
      <c r="H17" s="10">
        <f t="shared" si="5"/>
        <v>38733.5</v>
      </c>
      <c r="I17" s="49" t="s">
        <v>88</v>
      </c>
      <c r="J17" s="50" t="s">
        <v>89</v>
      </c>
      <c r="K17" s="49" t="s">
        <v>90</v>
      </c>
      <c r="L17" s="49" t="s">
        <v>91</v>
      </c>
      <c r="M17" s="50" t="s">
        <v>58</v>
      </c>
      <c r="N17" s="50" t="s">
        <v>59</v>
      </c>
      <c r="O17" s="51" t="s">
        <v>60</v>
      </c>
      <c r="P17" s="52" t="s">
        <v>87</v>
      </c>
    </row>
    <row r="18" spans="1:16" ht="12.75" customHeight="1" thickBot="1">
      <c r="A18" s="10" t="str">
        <f t="shared" si="0"/>
        <v>BAVM 225 </v>
      </c>
      <c r="B18" s="3" t="str">
        <f t="shared" si="1"/>
        <v>I</v>
      </c>
      <c r="C18" s="10">
        <f t="shared" si="2"/>
        <v>55838.282599999999</v>
      </c>
      <c r="D18" s="12" t="str">
        <f t="shared" si="3"/>
        <v>vis</v>
      </c>
      <c r="E18" s="48">
        <f>VLOOKUP(C18,Active!C$21:E$973,3,FALSE)</f>
        <v>36211.841016491897</v>
      </c>
      <c r="F18" s="3" t="s">
        <v>53</v>
      </c>
      <c r="G18" s="12" t="str">
        <f t="shared" si="4"/>
        <v>55838.2826</v>
      </c>
      <c r="H18" s="10">
        <f t="shared" si="5"/>
        <v>36212</v>
      </c>
      <c r="I18" s="49" t="s">
        <v>67</v>
      </c>
      <c r="J18" s="50" t="s">
        <v>68</v>
      </c>
      <c r="K18" s="49" t="s">
        <v>69</v>
      </c>
      <c r="L18" s="49" t="s">
        <v>57</v>
      </c>
      <c r="M18" s="50" t="s">
        <v>58</v>
      </c>
      <c r="N18" s="50" t="s">
        <v>59</v>
      </c>
      <c r="O18" s="51" t="s">
        <v>60</v>
      </c>
      <c r="P18" s="52" t="s">
        <v>61</v>
      </c>
    </row>
    <row r="19" spans="1:16" ht="12.75" customHeight="1" thickBot="1">
      <c r="A19" s="10" t="str">
        <f t="shared" si="0"/>
        <v>BAVM 231 </v>
      </c>
      <c r="B19" s="3" t="str">
        <f t="shared" si="1"/>
        <v>I</v>
      </c>
      <c r="C19" s="10">
        <f t="shared" si="2"/>
        <v>56167.3629</v>
      </c>
      <c r="D19" s="12" t="str">
        <f t="shared" si="3"/>
        <v>vis</v>
      </c>
      <c r="E19" s="48">
        <f>VLOOKUP(C19,Active!C$21:E$973,3,FALSE)</f>
        <v>36935.858062162704</v>
      </c>
      <c r="F19" s="3" t="s">
        <v>53</v>
      </c>
      <c r="G19" s="12" t="str">
        <f t="shared" si="4"/>
        <v>56167.3629</v>
      </c>
      <c r="H19" s="10">
        <f t="shared" si="5"/>
        <v>36936</v>
      </c>
      <c r="I19" s="49" t="s">
        <v>70</v>
      </c>
      <c r="J19" s="50" t="s">
        <v>71</v>
      </c>
      <c r="K19" s="49" t="s">
        <v>72</v>
      </c>
      <c r="L19" s="49" t="s">
        <v>73</v>
      </c>
      <c r="M19" s="50" t="s">
        <v>58</v>
      </c>
      <c r="N19" s="50" t="s">
        <v>59</v>
      </c>
      <c r="O19" s="51" t="s">
        <v>60</v>
      </c>
      <c r="P19" s="52" t="s">
        <v>74</v>
      </c>
    </row>
    <row r="20" spans="1:16" ht="12.75" customHeight="1" thickBot="1">
      <c r="A20" s="10" t="str">
        <f t="shared" si="0"/>
        <v>BAVM 225 </v>
      </c>
      <c r="B20" s="3" t="str">
        <f t="shared" si="1"/>
        <v>II</v>
      </c>
      <c r="C20" s="10">
        <f t="shared" si="2"/>
        <v>55804.4208</v>
      </c>
      <c r="D20" s="12" t="str">
        <f t="shared" si="3"/>
        <v>vis</v>
      </c>
      <c r="E20" s="48">
        <f>VLOOKUP(C20,Active!C$21:E$973,3,FALSE)</f>
        <v>36137.340900875446</v>
      </c>
      <c r="F20" s="3" t="s">
        <v>53</v>
      </c>
      <c r="G20" s="12" t="str">
        <f t="shared" si="4"/>
        <v>55804.4208</v>
      </c>
      <c r="H20" s="10">
        <f t="shared" si="5"/>
        <v>36137.5</v>
      </c>
      <c r="I20" s="49" t="s">
        <v>55</v>
      </c>
      <c r="J20" s="50" t="s">
        <v>56</v>
      </c>
      <c r="K20" s="49">
        <v>36137.5</v>
      </c>
      <c r="L20" s="49" t="s">
        <v>57</v>
      </c>
      <c r="M20" s="50" t="s">
        <v>58</v>
      </c>
      <c r="N20" s="50" t="s">
        <v>59</v>
      </c>
      <c r="O20" s="51" t="s">
        <v>60</v>
      </c>
      <c r="P20" s="52" t="s">
        <v>61</v>
      </c>
    </row>
    <row r="21" spans="1:16">
      <c r="B21" s="3"/>
      <c r="F21" s="3"/>
    </row>
    <row r="22" spans="1:16">
      <c r="B22" s="3"/>
      <c r="F22" s="3"/>
    </row>
    <row r="23" spans="1:16">
      <c r="B23" s="3"/>
      <c r="F23" s="3"/>
    </row>
    <row r="24" spans="1:16">
      <c r="B24" s="3"/>
      <c r="F24" s="3"/>
    </row>
    <row r="25" spans="1:16">
      <c r="B25" s="3"/>
      <c r="F25" s="3"/>
    </row>
    <row r="26" spans="1:16">
      <c r="B26" s="3"/>
      <c r="F26" s="3"/>
    </row>
    <row r="27" spans="1:16">
      <c r="B27" s="3"/>
      <c r="F27" s="3"/>
    </row>
    <row r="28" spans="1:16">
      <c r="B28" s="3"/>
      <c r="F28" s="3"/>
    </row>
    <row r="29" spans="1:16">
      <c r="B29" s="3"/>
      <c r="F29" s="3"/>
    </row>
    <row r="30" spans="1:16">
      <c r="B30" s="3"/>
      <c r="F30" s="3"/>
    </row>
    <row r="31" spans="1:16">
      <c r="B31" s="3"/>
      <c r="F31" s="3"/>
    </row>
    <row r="32" spans="1:16">
      <c r="B32" s="3"/>
      <c r="F32" s="3"/>
    </row>
    <row r="33" spans="2:6">
      <c r="B33" s="3"/>
      <c r="F33" s="3"/>
    </row>
    <row r="34" spans="2:6">
      <c r="B34" s="3"/>
      <c r="F34" s="3"/>
    </row>
    <row r="35" spans="2:6">
      <c r="B35" s="3"/>
      <c r="F35" s="3"/>
    </row>
    <row r="36" spans="2:6">
      <c r="B36" s="3"/>
      <c r="F36" s="3"/>
    </row>
    <row r="37" spans="2:6">
      <c r="B37" s="3"/>
      <c r="F37" s="3"/>
    </row>
    <row r="38" spans="2:6">
      <c r="B38" s="3"/>
      <c r="F38" s="3"/>
    </row>
    <row r="39" spans="2:6">
      <c r="B39" s="3"/>
      <c r="F39" s="3"/>
    </row>
    <row r="40" spans="2:6">
      <c r="B40" s="3"/>
      <c r="F40" s="3"/>
    </row>
    <row r="41" spans="2:6">
      <c r="B41" s="3"/>
      <c r="F41" s="3"/>
    </row>
    <row r="42" spans="2:6">
      <c r="B42" s="3"/>
      <c r="F42" s="3"/>
    </row>
    <row r="43" spans="2:6">
      <c r="B43" s="3"/>
      <c r="F43" s="3"/>
    </row>
    <row r="44" spans="2:6">
      <c r="B44" s="3"/>
      <c r="F44" s="3"/>
    </row>
    <row r="45" spans="2:6">
      <c r="B45" s="3"/>
      <c r="F45" s="3"/>
    </row>
    <row r="46" spans="2:6">
      <c r="B46" s="3"/>
      <c r="F46" s="3"/>
    </row>
    <row r="47" spans="2:6">
      <c r="B47" s="3"/>
      <c r="F47" s="3"/>
    </row>
    <row r="48" spans="2: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  <row r="788" spans="2:6">
      <c r="B788" s="3"/>
      <c r="F788" s="3"/>
    </row>
    <row r="789" spans="2:6">
      <c r="B789" s="3"/>
      <c r="F789" s="3"/>
    </row>
    <row r="790" spans="2:6">
      <c r="B790" s="3"/>
      <c r="F790" s="3"/>
    </row>
    <row r="791" spans="2:6">
      <c r="B791" s="3"/>
      <c r="F791" s="3"/>
    </row>
    <row r="792" spans="2:6">
      <c r="B792" s="3"/>
      <c r="F792" s="3"/>
    </row>
    <row r="793" spans="2:6">
      <c r="B793" s="3"/>
      <c r="F793" s="3"/>
    </row>
    <row r="794" spans="2:6">
      <c r="B794" s="3"/>
      <c r="F794" s="3"/>
    </row>
    <row r="795" spans="2:6">
      <c r="B795" s="3"/>
      <c r="F795" s="3"/>
    </row>
  </sheetData>
  <phoneticPr fontId="7" type="noConversion"/>
  <hyperlinks>
    <hyperlink ref="P20" r:id="rId1" display="http://www.bav-astro.de/sfs/BAVM_link.php?BAVMnr=225" xr:uid="{00000000-0004-0000-0100-000000000000}"/>
    <hyperlink ref="P13" r:id="rId2" display="http://www.bav-astro.de/sfs/BAVM_link.php?BAVMnr=234" xr:uid="{00000000-0004-0000-0100-000001000000}"/>
    <hyperlink ref="P18" r:id="rId3" display="http://www.bav-astro.de/sfs/BAVM_link.php?BAVMnr=225" xr:uid="{00000000-0004-0000-0100-000002000000}"/>
    <hyperlink ref="P19" r:id="rId4" display="http://www.bav-astro.de/sfs/BAVM_link.php?BAVMnr=231" xr:uid="{00000000-0004-0000-0100-000003000000}"/>
    <hyperlink ref="P14" r:id="rId5" display="http://www.bav-astro.de/sfs/BAVM_link.php?BAVMnr=234" xr:uid="{00000000-0004-0000-0100-000004000000}"/>
    <hyperlink ref="P15" r:id="rId6" display="http://www.bav-astro.de/sfs/BAVM_link.php?BAVMnr=234" xr:uid="{00000000-0004-0000-0100-000005000000}"/>
    <hyperlink ref="P16" r:id="rId7" display="http://www.bav-astro.de/sfs/BAVM_link.php?BAVMnr=239" xr:uid="{00000000-0004-0000-0100-000006000000}"/>
    <hyperlink ref="P17" r:id="rId8" display="http://www.bav-astro.de/sfs/BAVM_link.php?BAVMnr=239" xr:uid="{00000000-0004-0000-0100-000007000000}"/>
    <hyperlink ref="P12" r:id="rId9" display="http://www.bav-astro.de/sfs/BAVM_link.php?BAVMnr=241" xr:uid="{00000000-0004-0000-0100-000008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2024-02-04T04:46:08Z</dcterms:modified>
</cp:coreProperties>
</file>