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5C23133-3252-41F8-9139-D9F4791CE41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A25" i="1" l="1"/>
  <c r="E28" i="1"/>
  <c r="F28" i="1"/>
  <c r="G28" i="1"/>
  <c r="K28" i="1"/>
  <c r="Q28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6" i="1"/>
  <c r="F26" i="1"/>
  <c r="G26" i="1"/>
  <c r="I26" i="1"/>
  <c r="E27" i="1"/>
  <c r="F27" i="1"/>
  <c r="G27" i="1"/>
  <c r="I27" i="1"/>
  <c r="E25" i="1"/>
  <c r="F25" i="1"/>
  <c r="G25" i="1"/>
  <c r="H25" i="1"/>
  <c r="Q21" i="1"/>
  <c r="Q22" i="1"/>
  <c r="Q23" i="1"/>
  <c r="Q24" i="1"/>
  <c r="Q26" i="1"/>
  <c r="Q27" i="1"/>
  <c r="G17" i="2"/>
  <c r="C17" i="2"/>
  <c r="E17" i="2"/>
  <c r="G16" i="2"/>
  <c r="C16" i="2"/>
  <c r="E16" i="2"/>
  <c r="G11" i="2"/>
  <c r="C11" i="2"/>
  <c r="E11" i="2"/>
  <c r="G15" i="2"/>
  <c r="C15" i="2"/>
  <c r="E15" i="2"/>
  <c r="G14" i="2"/>
  <c r="C14" i="2"/>
  <c r="E14" i="2"/>
  <c r="G13" i="2"/>
  <c r="C13" i="2"/>
  <c r="E13" i="2"/>
  <c r="G12" i="2"/>
  <c r="C12" i="2"/>
  <c r="E12" i="2"/>
  <c r="H17" i="2"/>
  <c r="D17" i="2"/>
  <c r="B17" i="2"/>
  <c r="A17" i="2"/>
  <c r="H16" i="2"/>
  <c r="D16" i="2"/>
  <c r="B16" i="2"/>
  <c r="A16" i="2"/>
  <c r="H11" i="2"/>
  <c r="D11" i="2"/>
  <c r="B11" i="2"/>
  <c r="A11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D9" i="1"/>
  <c r="C25" i="1"/>
  <c r="E9" i="1"/>
  <c r="F16" i="1"/>
  <c r="C17" i="1"/>
  <c r="Q25" i="1"/>
  <c r="C12" i="1"/>
  <c r="C11" i="1"/>
  <c r="O28" i="1" l="1"/>
  <c r="O23" i="1"/>
  <c r="O21" i="1"/>
  <c r="O22" i="1"/>
  <c r="O24" i="1"/>
  <c r="C15" i="1"/>
  <c r="O25" i="1"/>
  <c r="O26" i="1"/>
  <c r="O27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<sst xmlns="http://schemas.openxmlformats.org/spreadsheetml/2006/main" count="133" uniqueCount="79">
  <si>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</si>
  <si>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</si>
  <si>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</si>
  <si>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</si>
  <si>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</si>
  <si>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</si>
  <si>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</si>
  <si>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</si>
  <si>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</si>
  <si>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</si>
  <si>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</si>
  <si>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</si>
  <si>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</si>
  <si>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</si>
  <si>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</si>
  <si>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</si>
  <si>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</si>
  <si>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</si>
  <si>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</si>
  <si>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</si>
  <si>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</si>
  <si>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</si>
  <si>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</si>
  <si>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</si>
  <si>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</si>
  <si>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</si>
  <si>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</si>
  <si>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</si>
  <si>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</si>
  <si>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</si>
  <si>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</si>
  <si>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</si>
  <si>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</si>
  <si>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</si>
  <si>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</si>
  <si>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</si>
  <si>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</si>
  <si>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</si>
  <si>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</si>
  <si>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</si>
  <si>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</si>
  <si>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</si>
  <si>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</si>
  <si>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</si>
  <si>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</si>
  <si>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</si>
  <si>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</si>
  <si>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</si>
  <si>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</si>
  <si>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V1721 Cyg</t>
  </si>
  <si>
    <t>EA</t>
  </si>
  <si>
    <t>V1721 Cyg / GSC 43697.488</t>
  </si>
  <si>
    <t>Malkov</t>
  </si>
  <si>
    <t>2442605.497 </t>
  </si>
  <si>
    <t> 11.07.1975 23:55 </t>
  </si>
  <si>
    <t> -0.103 </t>
  </si>
  <si>
    <t>P </t>
  </si>
  <si>
    <t> S.W.Kopeikin </t>
  </si>
  <si>
    <t> PZP 4.223 </t>
  </si>
  <si>
    <t>2442747.185 </t>
  </si>
  <si>
    <t> 30.11.1975 16:26 </t>
  </si>
  <si>
    <t> -0.006 </t>
  </si>
  <si>
    <t>2443038.531 </t>
  </si>
  <si>
    <t> 17.09.1976 00:44 </t>
  </si>
  <si>
    <t> -0.012 </t>
  </si>
  <si>
    <t>2443049.417 </t>
  </si>
  <si>
    <t> 27.09.1976 22:00 </t>
  </si>
  <si>
    <t> -0.018 </t>
  </si>
  <si>
    <t>2443697.488 </t>
  </si>
  <si>
    <t> 07.07.1978 23:42 </t>
  </si>
  <si>
    <t> 0.000 </t>
  </si>
  <si>
    <t>2443757.434 </t>
  </si>
  <si>
    <t> 05.09.1978 22:24 </t>
  </si>
  <si>
    <t> 0.042 </t>
  </si>
  <si>
    <t>2443787.295 </t>
  </si>
  <si>
    <t> 05.10.1978 19:04 </t>
  </si>
  <si>
    <t> -0.049 </t>
  </si>
  <si>
    <t>I</t>
  </si>
  <si>
    <t>VSB 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</si>
</sst>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V1721 Cyg - O-C Diagr.</a:t>
            </a:r>
          </a:p>
        </c:rich>
      </c:tx>
      <c:layout>
        <c:manualLayout>
          <c:xMode val="edge"/>
          <c:yMode val="edge"/>
          <c:x val="0.366917293233082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58966565349544"/>
          <c:w val="0.82105263157894737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-401</c:v>
                </c:pt>
                <c:pt idx="1">
                  <c:v>-349</c:v>
                </c:pt>
                <c:pt idx="2">
                  <c:v>-242</c:v>
                </c:pt>
                <c:pt idx="3">
                  <c:v>-238</c:v>
                </c:pt>
                <c:pt idx="4">
                  <c:v>0</c:v>
                </c:pt>
                <c:pt idx="5">
                  <c:v>22</c:v>
                </c:pt>
                <c:pt idx="6">
                  <c:v>33</c:v>
                </c:pt>
                <c:pt idx="7">
                  <c:v>5512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5-46BF-804D-80C1739507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-401</c:v>
                </c:pt>
                <c:pt idx="1">
                  <c:v>-349</c:v>
                </c:pt>
                <c:pt idx="2">
                  <c:v>-242</c:v>
                </c:pt>
                <c:pt idx="3">
                  <c:v>-238</c:v>
                </c:pt>
                <c:pt idx="4">
                  <c:v>0</c:v>
                </c:pt>
                <c:pt idx="5">
                  <c:v>22</c:v>
                </c:pt>
                <c:pt idx="6">
                  <c:v>33</c:v>
                </c:pt>
                <c:pt idx="7">
                  <c:v>5512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-0.10288699999364326</c:v>
                </c:pt>
                <c:pt idx="1">
                  <c:v>-6.3630000004195608E-3</c:v>
                </c:pt>
                <c:pt idx="2">
                  <c:v>-1.2053999991621822E-2</c:v>
                </c:pt>
                <c:pt idx="3">
                  <c:v>-1.7705999998725019E-2</c:v>
                </c:pt>
                <c:pt idx="5">
                  <c:v>4.1914000001270324E-2</c:v>
                </c:pt>
                <c:pt idx="6">
                  <c:v>-4.9128999999084044E-2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25-46BF-804D-80C1739507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-401</c:v>
                </c:pt>
                <c:pt idx="1">
                  <c:v>-349</c:v>
                </c:pt>
                <c:pt idx="2">
                  <c:v>-242</c:v>
                </c:pt>
                <c:pt idx="3">
                  <c:v>-238</c:v>
                </c:pt>
                <c:pt idx="4">
                  <c:v>0</c:v>
                </c:pt>
                <c:pt idx="5">
                  <c:v>22</c:v>
                </c:pt>
                <c:pt idx="6">
                  <c:v>33</c:v>
                </c:pt>
                <c:pt idx="7">
                  <c:v>5512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25-46BF-804D-80C1739507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-401</c:v>
                </c:pt>
                <c:pt idx="1">
                  <c:v>-349</c:v>
                </c:pt>
                <c:pt idx="2">
                  <c:v>-242</c:v>
                </c:pt>
                <c:pt idx="3">
                  <c:v>-238</c:v>
                </c:pt>
                <c:pt idx="4">
                  <c:v>0</c:v>
                </c:pt>
                <c:pt idx="5">
                  <c:v>22</c:v>
                </c:pt>
                <c:pt idx="6">
                  <c:v>33</c:v>
                </c:pt>
                <c:pt idx="7">
                  <c:v>5512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-1.2456000004021917E-2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25-46BF-804D-80C1739507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-401</c:v>
                </c:pt>
                <c:pt idx="1">
                  <c:v>-349</c:v>
                </c:pt>
                <c:pt idx="2">
                  <c:v>-242</c:v>
                </c:pt>
                <c:pt idx="3">
                  <c:v>-238</c:v>
                </c:pt>
                <c:pt idx="4">
                  <c:v>0</c:v>
                </c:pt>
                <c:pt idx="5">
                  <c:v>22</c:v>
                </c:pt>
                <c:pt idx="6">
                  <c:v>33</c:v>
                </c:pt>
                <c:pt idx="7">
                  <c:v>5512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25-46BF-804D-80C1739507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-401</c:v>
                </c:pt>
                <c:pt idx="1">
                  <c:v>-349</c:v>
                </c:pt>
                <c:pt idx="2">
                  <c:v>-242</c:v>
                </c:pt>
                <c:pt idx="3">
                  <c:v>-238</c:v>
                </c:pt>
                <c:pt idx="4">
                  <c:v>0</c:v>
                </c:pt>
                <c:pt idx="5">
                  <c:v>22</c:v>
                </c:pt>
                <c:pt idx="6">
                  <c:v>33</c:v>
                </c:pt>
                <c:pt idx="7">
                  <c:v>5512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25-46BF-804D-80C1739507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-401</c:v>
                </c:pt>
                <c:pt idx="1">
                  <c:v>-349</c:v>
                </c:pt>
                <c:pt idx="2">
                  <c:v>-242</c:v>
                </c:pt>
                <c:pt idx="3">
                  <c:v>-238</c:v>
                </c:pt>
                <c:pt idx="4">
                  <c:v>0</c:v>
                </c:pt>
                <c:pt idx="5">
                  <c:v>22</c:v>
                </c:pt>
                <c:pt idx="6">
                  <c:v>33</c:v>
                </c:pt>
                <c:pt idx="7">
                  <c:v>5512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25-46BF-804D-80C1739507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-401</c:v>
                </c:pt>
                <c:pt idx="1">
                  <c:v>-349</c:v>
                </c:pt>
                <c:pt idx="2">
                  <c:v>-242</c:v>
                </c:pt>
                <c:pt idx="3">
                  <c:v>-238</c:v>
                </c:pt>
                <c:pt idx="4">
                  <c:v>0</c:v>
                </c:pt>
                <c:pt idx="5">
                  <c:v>22</c:v>
                </c:pt>
                <c:pt idx="6">
                  <c:v>33</c:v>
                </c:pt>
                <c:pt idx="7">
                  <c:v>5512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-2.2066944328339392E-2</c:v>
                </c:pt>
                <c:pt idx="1">
                  <c:v>-2.1943891069054509E-2</c:v>
                </c:pt>
                <c:pt idx="2">
                  <c:v>-2.1690685323987543E-2</c:v>
                </c:pt>
                <c:pt idx="3">
                  <c:v>-2.1681219688657934E-2</c:v>
                </c:pt>
                <c:pt idx="4">
                  <c:v>-2.1118014386546362E-2</c:v>
                </c:pt>
                <c:pt idx="5">
                  <c:v>-2.1065953392233529E-2</c:v>
                </c:pt>
                <c:pt idx="6">
                  <c:v>-2.1039922895077109E-2</c:v>
                </c:pt>
                <c:pt idx="7">
                  <c:v>-8.074368902348918E-3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25-46BF-804D-80C17395074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-401</c:v>
                </c:pt>
                <c:pt idx="1">
                  <c:v>-349</c:v>
                </c:pt>
                <c:pt idx="2">
                  <c:v>-242</c:v>
                </c:pt>
                <c:pt idx="3">
                  <c:v>-238</c:v>
                </c:pt>
                <c:pt idx="4">
                  <c:v>0</c:v>
                </c:pt>
                <c:pt idx="5">
                  <c:v>22</c:v>
                </c:pt>
                <c:pt idx="6">
                  <c:v>33</c:v>
                </c:pt>
                <c:pt idx="7">
                  <c:v>5512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25-46BF-804D-80C173950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877832"/>
        <c:axId val="1"/>
      </c:scatterChart>
      <c:valAx>
        <c:axId val="867877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877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097264437689974"/>
          <c:w val="0.714285714285714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4F6D325-EE59-EA54-7EA8-C5E7F4722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G31" sqref="G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50" t="s">
        <v>49</v>
      </c>
      <c r="G1" s="32">
        <v>21.21434</v>
      </c>
      <c r="H1" s="33">
        <v>37.205800000000004</v>
      </c>
      <c r="I1" s="34">
        <v>43697.487999999998</v>
      </c>
      <c r="J1" s="34">
        <v>2.7229130000000001</v>
      </c>
      <c r="K1" s="31" t="s">
        <v>50</v>
      </c>
      <c r="L1" s="33"/>
      <c r="M1" s="34">
        <v>43697.487999999998</v>
      </c>
      <c r="N1" s="34">
        <v>2.7229130000000001</v>
      </c>
      <c r="O1" s="37" t="s">
        <v>50</v>
      </c>
    </row>
    <row r="2" spans="1:15" x14ac:dyDescent="0.2">
      <c r="A2" t="s">
        <v>23</v>
      </c>
      <c r="B2" t="s">
        <v>50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7">
        <v>43697.487999999998</v>
      </c>
      <c r="D7" s="29" t="s">
        <v>52</v>
      </c>
    </row>
    <row r="8" spans="1:15" x14ac:dyDescent="0.2">
      <c r="A8" t="s">
        <v>3</v>
      </c>
      <c r="C8" s="57">
        <v>2.7229130000000001</v>
      </c>
      <c r="D8" s="29" t="s">
        <v>52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-2.1118014386546362E-2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2.3664088324015683E-6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58706.176381631092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2.7229153664088326</v>
      </c>
      <c r="E16" s="14" t="s">
        <v>30</v>
      </c>
      <c r="F16" s="36">
        <f ca="1">NOW()+15018.5+$C$5/24</f>
        <v>60344.748175462963</v>
      </c>
    </row>
    <row r="17" spans="1:18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6115</v>
      </c>
    </row>
    <row r="18" spans="1:18" ht="14.25" thickTop="1" thickBot="1" x14ac:dyDescent="0.25">
      <c r="A18" s="16" t="s">
        <v>5</v>
      </c>
      <c r="B18" s="10"/>
      <c r="C18" s="19">
        <f ca="1">+C15</f>
        <v>58706.176381631092</v>
      </c>
      <c r="D18" s="20">
        <f ca="1">+C16</f>
        <v>2.7229153664088326</v>
      </c>
      <c r="E18" s="14" t="s">
        <v>36</v>
      </c>
      <c r="F18" s="23">
        <f ca="1">ROUND(2*(F16-$C$15)/$C$16,0)/2+F15</f>
        <v>603</v>
      </c>
    </row>
    <row r="19" spans="1:18" ht="13.5" thickTop="1" x14ac:dyDescent="0.2">
      <c r="E19" s="14" t="s">
        <v>31</v>
      </c>
      <c r="F19" s="18">
        <f ca="1">+$C$15+$C$16*F18-15018.5-$C$5/24</f>
        <v>45329.990180908957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1" t="s">
        <v>58</v>
      </c>
      <c r="B21" s="53" t="s">
        <v>77</v>
      </c>
      <c r="C21" s="52">
        <v>42605.497000000003</v>
      </c>
      <c r="D21" s="52" t="s">
        <v>39</v>
      </c>
      <c r="E21">
        <f t="shared" ref="E21:E27" si="0">+(C21-C$7)/C$8</f>
        <v>-401.03778563618982</v>
      </c>
      <c r="F21">
        <f t="shared" ref="F21:F28" si="1">ROUND(2*E21,0)/2</f>
        <v>-401</v>
      </c>
      <c r="G21">
        <f t="shared" ref="G21:G27" si="2">+C21-(C$7+F21*C$8)</f>
        <v>-0.10288699999364326</v>
      </c>
      <c r="I21">
        <f>+G21</f>
        <v>-0.10288699999364326</v>
      </c>
      <c r="O21">
        <f t="shared" ref="O21:O27" ca="1" si="3">+C$11+C$12*$F21</f>
        <v>-2.2066944328339392E-2</v>
      </c>
      <c r="Q21" s="2">
        <f t="shared" ref="Q21:Q27" si="4">+C21-15018.5</f>
        <v>27586.997000000003</v>
      </c>
    </row>
    <row r="22" spans="1:18" x14ac:dyDescent="0.2">
      <c r="A22" s="51" t="s">
        <v>58</v>
      </c>
      <c r="B22" s="53" t="s">
        <v>77</v>
      </c>
      <c r="C22" s="52">
        <v>42747.184999999998</v>
      </c>
      <c r="D22" s="52" t="s">
        <v>39</v>
      </c>
      <c r="E22">
        <f t="shared" si="0"/>
        <v>-349.00233683558741</v>
      </c>
      <c r="F22">
        <f t="shared" si="1"/>
        <v>-349</v>
      </c>
      <c r="G22">
        <f t="shared" si="2"/>
        <v>-6.3630000004195608E-3</v>
      </c>
      <c r="I22">
        <f>+G22</f>
        <v>-6.3630000004195608E-3</v>
      </c>
      <c r="O22">
        <f t="shared" ca="1" si="3"/>
        <v>-2.1943891069054509E-2</v>
      </c>
      <c r="Q22" s="2">
        <f t="shared" si="4"/>
        <v>27728.684999999998</v>
      </c>
    </row>
    <row r="23" spans="1:18" x14ac:dyDescent="0.2">
      <c r="A23" s="51" t="s">
        <v>58</v>
      </c>
      <c r="B23" s="53" t="s">
        <v>77</v>
      </c>
      <c r="C23" s="52">
        <v>43038.531000000003</v>
      </c>
      <c r="D23" s="52" t="s">
        <v>39</v>
      </c>
      <c r="E23">
        <f t="shared" si="0"/>
        <v>-242.00442687665557</v>
      </c>
      <c r="F23">
        <f t="shared" si="1"/>
        <v>-242</v>
      </c>
      <c r="G23">
        <f t="shared" si="2"/>
        <v>-1.2053999991621822E-2</v>
      </c>
      <c r="I23">
        <f>+G23</f>
        <v>-1.2053999991621822E-2</v>
      </c>
      <c r="O23">
        <f t="shared" ca="1" si="3"/>
        <v>-2.1690685323987543E-2</v>
      </c>
      <c r="Q23" s="2">
        <f t="shared" si="4"/>
        <v>28020.031000000003</v>
      </c>
    </row>
    <row r="24" spans="1:18" x14ac:dyDescent="0.2">
      <c r="A24" s="51" t="s">
        <v>58</v>
      </c>
      <c r="B24" s="53" t="s">
        <v>77</v>
      </c>
      <c r="C24" s="52">
        <v>43049.417000000001</v>
      </c>
      <c r="D24" s="52" t="s">
        <v>39</v>
      </c>
      <c r="E24">
        <f t="shared" si="0"/>
        <v>-238.00650259482995</v>
      </c>
      <c r="F24">
        <f t="shared" si="1"/>
        <v>-238</v>
      </c>
      <c r="G24">
        <f t="shared" si="2"/>
        <v>-1.7705999998725019E-2</v>
      </c>
      <c r="I24">
        <f>+G24</f>
        <v>-1.7705999998725019E-2</v>
      </c>
      <c r="O24">
        <f t="shared" ca="1" si="3"/>
        <v>-2.1681219688657934E-2</v>
      </c>
      <c r="Q24" s="2">
        <f t="shared" si="4"/>
        <v>28030.917000000001</v>
      </c>
    </row>
    <row r="25" spans="1:18" x14ac:dyDescent="0.2">
      <c r="A25" t="str">
        <f>D7</f>
        <v>Malkov</v>
      </c>
      <c r="C25" s="8">
        <f>C$7</f>
        <v>43697.487999999998</v>
      </c>
      <c r="D25" s="8" t="s">
        <v>13</v>
      </c>
      <c r="E25">
        <f t="shared" si="0"/>
        <v>0</v>
      </c>
      <c r="F25">
        <f t="shared" si="1"/>
        <v>0</v>
      </c>
      <c r="G25">
        <f t="shared" si="2"/>
        <v>0</v>
      </c>
      <c r="H25">
        <f t="shared" ref="H21:H27" si="5">+G25</f>
        <v>0</v>
      </c>
      <c r="O25">
        <f t="shared" ca="1" si="3"/>
        <v>-2.1118014386546362E-2</v>
      </c>
      <c r="Q25" s="2">
        <f t="shared" si="4"/>
        <v>28678.987999999998</v>
      </c>
    </row>
    <row r="26" spans="1:18" x14ac:dyDescent="0.2">
      <c r="A26" s="51" t="s">
        <v>58</v>
      </c>
      <c r="B26" s="53" t="s">
        <v>77</v>
      </c>
      <c r="C26" s="52">
        <v>43757.434000000001</v>
      </c>
      <c r="D26" s="52" t="s">
        <v>39</v>
      </c>
      <c r="E26">
        <f t="shared" si="0"/>
        <v>22.015393073522198</v>
      </c>
      <c r="F26">
        <f t="shared" si="1"/>
        <v>22</v>
      </c>
      <c r="G26">
        <f t="shared" si="2"/>
        <v>4.1914000001270324E-2</v>
      </c>
      <c r="I26">
        <f>+G26</f>
        <v>4.1914000001270324E-2</v>
      </c>
      <c r="O26">
        <f t="shared" ca="1" si="3"/>
        <v>-2.1065953392233529E-2</v>
      </c>
      <c r="Q26" s="2">
        <f t="shared" si="4"/>
        <v>28738.934000000001</v>
      </c>
    </row>
    <row r="27" spans="1:18" x14ac:dyDescent="0.2">
      <c r="A27" s="51" t="s">
        <v>58</v>
      </c>
      <c r="B27" s="53" t="s">
        <v>77</v>
      </c>
      <c r="C27" s="52">
        <v>43787.294999999998</v>
      </c>
      <c r="D27" s="52" t="s">
        <v>39</v>
      </c>
      <c r="E27">
        <f t="shared" si="0"/>
        <v>32.981957190700065</v>
      </c>
      <c r="F27">
        <f t="shared" si="1"/>
        <v>33</v>
      </c>
      <c r="G27">
        <f t="shared" si="2"/>
        <v>-4.9128999999084044E-2</v>
      </c>
      <c r="I27">
        <f>+G27</f>
        <v>-4.9128999999084044E-2</v>
      </c>
      <c r="O27">
        <f t="shared" ca="1" si="3"/>
        <v>-2.1039922895077109E-2</v>
      </c>
      <c r="Q27" s="2">
        <f t="shared" si="4"/>
        <v>28768.794999999998</v>
      </c>
    </row>
    <row r="28" spans="1:18" x14ac:dyDescent="0.2">
      <c r="A28" s="54" t="s">
        <v>78</v>
      </c>
      <c r="B28" s="55" t="s">
        <v>77</v>
      </c>
      <c r="C28" s="56">
        <v>58706.171999999999</v>
      </c>
      <c r="D28" s="56" t="s">
        <v>48</v>
      </c>
      <c r="E28">
        <f>+(C28-C$7)/C$8</f>
        <v>5511.9954254873364</v>
      </c>
      <c r="F28">
        <f t="shared" si="1"/>
        <v>5512</v>
      </c>
      <c r="G28">
        <f>+C28-(C$7+F28*C$8)</f>
        <v>-1.2456000004021917E-2</v>
      </c>
      <c r="K28">
        <f>+G28</f>
        <v>-1.2456000004021917E-2</v>
      </c>
      <c r="O28">
        <f ca="1">+C$11+C$12*$F28</f>
        <v>-8.074368902348918E-3</v>
      </c>
      <c r="Q28" s="2">
        <f>+C28-15018.5</f>
        <v>43687.671999999999</v>
      </c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8:D28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0"/>
  <sheetViews>
    <sheetView workbookViewId="0">
      <selection activeCell="A12" sqref="A12:D17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42</v>
      </c>
      <c r="I1" s="39" t="s">
        <v>43</v>
      </c>
      <c r="J1" s="40" t="s">
        <v>41</v>
      </c>
    </row>
    <row r="2" spans="1:16" x14ac:dyDescent="0.2">
      <c r="I2" s="41" t="s">
        <v>44</v>
      </c>
      <c r="J2" s="42" t="s">
        <v>40</v>
      </c>
    </row>
    <row r="3" spans="1:16" x14ac:dyDescent="0.2">
      <c r="A3" s="43" t="s">
        <v>45</v>
      </c>
      <c r="I3" s="41" t="s">
        <v>46</v>
      </c>
      <c r="J3" s="42" t="s">
        <v>38</v>
      </c>
    </row>
    <row r="4" spans="1:16" x14ac:dyDescent="0.2">
      <c r="I4" s="41" t="s">
        <v>47</v>
      </c>
      <c r="J4" s="42" t="s">
        <v>38</v>
      </c>
    </row>
    <row r="5" spans="1:16" ht="13.5" thickBot="1" x14ac:dyDescent="0.25">
      <c r="I5" s="44" t="s">
        <v>48</v>
      </c>
      <c r="J5" s="45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17" si="0">P11</f>
        <v> PZP 4.223 </v>
      </c>
      <c r="B11" s="3" t="str">
        <f t="shared" ref="B11:B17" si="1">IF(H11=INT(H11),"I","II")</f>
        <v>I</v>
      </c>
      <c r="C11" s="8">
        <f t="shared" ref="C11:C17" si="2">1*G11</f>
        <v>43697.487999999998</v>
      </c>
      <c r="D11" s="10" t="str">
        <f t="shared" ref="D11:D17" si="3">VLOOKUP(F11,I$1:J$5,2,FALSE)</f>
        <v>vis</v>
      </c>
      <c r="E11" s="46">
        <f>VLOOKUP(C11,Active!C$21:E$973,3,FALSE)</f>
        <v>0</v>
      </c>
      <c r="F11" s="3" t="s">
        <v>48</v>
      </c>
      <c r="G11" s="10" t="str">
        <f t="shared" ref="G11:G17" si="4">MID(I11,3,LEN(I11)-3)</f>
        <v>43697.488</v>
      </c>
      <c r="H11" s="8">
        <f t="shared" ref="H11:H17" si="5">1*K11</f>
        <v>0</v>
      </c>
      <c r="I11" s="47" t="s">
        <v>68</v>
      </c>
      <c r="J11" s="48" t="s">
        <v>69</v>
      </c>
      <c r="K11" s="47">
        <v>0</v>
      </c>
      <c r="L11" s="47" t="s">
        <v>70</v>
      </c>
      <c r="M11" s="48" t="s">
        <v>56</v>
      </c>
      <c r="N11" s="48"/>
      <c r="O11" s="49" t="s">
        <v>57</v>
      </c>
      <c r="P11" s="49" t="s">
        <v>58</v>
      </c>
    </row>
    <row r="12" spans="1:16" ht="12.75" customHeight="1" thickBot="1" x14ac:dyDescent="0.25">
      <c r="A12" s="8" t="str">
        <f t="shared" si="0"/>
        <v> PZP 4.223 </v>
      </c>
      <c r="B12" s="3" t="str">
        <f t="shared" si="1"/>
        <v>I</v>
      </c>
      <c r="C12" s="8">
        <f t="shared" si="2"/>
        <v>42605.497000000003</v>
      </c>
      <c r="D12" s="10" t="str">
        <f t="shared" si="3"/>
        <v>vis</v>
      </c>
      <c r="E12" s="46">
        <f>VLOOKUP(C12,Active!C$21:E$973,3,FALSE)</f>
        <v>-401.03778563618982</v>
      </c>
      <c r="F12" s="3" t="s">
        <v>48</v>
      </c>
      <c r="G12" s="10" t="str">
        <f t="shared" si="4"/>
        <v>42605.497</v>
      </c>
      <c r="H12" s="8">
        <f t="shared" si="5"/>
        <v>-401</v>
      </c>
      <c r="I12" s="47" t="s">
        <v>53</v>
      </c>
      <c r="J12" s="48" t="s">
        <v>54</v>
      </c>
      <c r="K12" s="47">
        <v>-401</v>
      </c>
      <c r="L12" s="47" t="s">
        <v>55</v>
      </c>
      <c r="M12" s="48" t="s">
        <v>56</v>
      </c>
      <c r="N12" s="48"/>
      <c r="O12" s="49" t="s">
        <v>57</v>
      </c>
      <c r="P12" s="49" t="s">
        <v>58</v>
      </c>
    </row>
    <row r="13" spans="1:16" ht="12.75" customHeight="1" thickBot="1" x14ac:dyDescent="0.25">
      <c r="A13" s="8" t="str">
        <f t="shared" si="0"/>
        <v> PZP 4.223 </v>
      </c>
      <c r="B13" s="3" t="str">
        <f t="shared" si="1"/>
        <v>I</v>
      </c>
      <c r="C13" s="8">
        <f t="shared" si="2"/>
        <v>42747.184999999998</v>
      </c>
      <c r="D13" s="10" t="str">
        <f t="shared" si="3"/>
        <v>vis</v>
      </c>
      <c r="E13" s="46">
        <f>VLOOKUP(C13,Active!C$21:E$973,3,FALSE)</f>
        <v>-349.00233683558741</v>
      </c>
      <c r="F13" s="3" t="s">
        <v>48</v>
      </c>
      <c r="G13" s="10" t="str">
        <f t="shared" si="4"/>
        <v>42747.185</v>
      </c>
      <c r="H13" s="8">
        <f t="shared" si="5"/>
        <v>-349</v>
      </c>
      <c r="I13" s="47" t="s">
        <v>59</v>
      </c>
      <c r="J13" s="48" t="s">
        <v>60</v>
      </c>
      <c r="K13" s="47">
        <v>-349</v>
      </c>
      <c r="L13" s="47" t="s">
        <v>61</v>
      </c>
      <c r="M13" s="48" t="s">
        <v>56</v>
      </c>
      <c r="N13" s="48"/>
      <c r="O13" s="49" t="s">
        <v>57</v>
      </c>
      <c r="P13" s="49" t="s">
        <v>58</v>
      </c>
    </row>
    <row r="14" spans="1:16" ht="12.75" customHeight="1" thickBot="1" x14ac:dyDescent="0.25">
      <c r="A14" s="8" t="str">
        <f t="shared" si="0"/>
        <v> PZP 4.223 </v>
      </c>
      <c r="B14" s="3" t="str">
        <f t="shared" si="1"/>
        <v>I</v>
      </c>
      <c r="C14" s="8">
        <f t="shared" si="2"/>
        <v>43038.531000000003</v>
      </c>
      <c r="D14" s="10" t="str">
        <f t="shared" si="3"/>
        <v>vis</v>
      </c>
      <c r="E14" s="46">
        <f>VLOOKUP(C14,Active!C$21:E$973,3,FALSE)</f>
        <v>-242.00442687665557</v>
      </c>
      <c r="F14" s="3" t="s">
        <v>48</v>
      </c>
      <c r="G14" s="10" t="str">
        <f t="shared" si="4"/>
        <v>43038.531</v>
      </c>
      <c r="H14" s="8">
        <f t="shared" si="5"/>
        <v>-242</v>
      </c>
      <c r="I14" s="47" t="s">
        <v>62</v>
      </c>
      <c r="J14" s="48" t="s">
        <v>63</v>
      </c>
      <c r="K14" s="47">
        <v>-242</v>
      </c>
      <c r="L14" s="47" t="s">
        <v>64</v>
      </c>
      <c r="M14" s="48" t="s">
        <v>56</v>
      </c>
      <c r="N14" s="48"/>
      <c r="O14" s="49" t="s">
        <v>57</v>
      </c>
      <c r="P14" s="49" t="s">
        <v>58</v>
      </c>
    </row>
    <row r="15" spans="1:16" ht="12.75" customHeight="1" thickBot="1" x14ac:dyDescent="0.25">
      <c r="A15" s="8" t="str">
        <f t="shared" si="0"/>
        <v> PZP 4.223 </v>
      </c>
      <c r="B15" s="3" t="str">
        <f t="shared" si="1"/>
        <v>I</v>
      </c>
      <c r="C15" s="8">
        <f t="shared" si="2"/>
        <v>43049.417000000001</v>
      </c>
      <c r="D15" s="10" t="str">
        <f t="shared" si="3"/>
        <v>vis</v>
      </c>
      <c r="E15" s="46">
        <f>VLOOKUP(C15,Active!C$21:E$973,3,FALSE)</f>
        <v>-238.00650259482995</v>
      </c>
      <c r="F15" s="3" t="s">
        <v>48</v>
      </c>
      <c r="G15" s="10" t="str">
        <f t="shared" si="4"/>
        <v>43049.417</v>
      </c>
      <c r="H15" s="8">
        <f t="shared" si="5"/>
        <v>-238</v>
      </c>
      <c r="I15" s="47" t="s">
        <v>65</v>
      </c>
      <c r="J15" s="48" t="s">
        <v>66</v>
      </c>
      <c r="K15" s="47">
        <v>-238</v>
      </c>
      <c r="L15" s="47" t="s">
        <v>67</v>
      </c>
      <c r="M15" s="48" t="s">
        <v>56</v>
      </c>
      <c r="N15" s="48"/>
      <c r="O15" s="49" t="s">
        <v>57</v>
      </c>
      <c r="P15" s="49" t="s">
        <v>58</v>
      </c>
    </row>
    <row r="16" spans="1:16" ht="12.75" customHeight="1" thickBot="1" x14ac:dyDescent="0.25">
      <c r="A16" s="8" t="str">
        <f t="shared" si="0"/>
        <v> PZP 4.223 </v>
      </c>
      <c r="B16" s="3" t="str">
        <f t="shared" si="1"/>
        <v>I</v>
      </c>
      <c r="C16" s="8">
        <f t="shared" si="2"/>
        <v>43757.434000000001</v>
      </c>
      <c r="D16" s="10" t="str">
        <f t="shared" si="3"/>
        <v>vis</v>
      </c>
      <c r="E16" s="46">
        <f>VLOOKUP(C16,Active!C$21:E$973,3,FALSE)</f>
        <v>22.015393073522198</v>
      </c>
      <c r="F16" s="3" t="s">
        <v>48</v>
      </c>
      <c r="G16" s="10" t="str">
        <f t="shared" si="4"/>
        <v>43757.434</v>
      </c>
      <c r="H16" s="8">
        <f t="shared" si="5"/>
        <v>22</v>
      </c>
      <c r="I16" s="47" t="s">
        <v>71</v>
      </c>
      <c r="J16" s="48" t="s">
        <v>72</v>
      </c>
      <c r="K16" s="47">
        <v>22</v>
      </c>
      <c r="L16" s="47" t="s">
        <v>73</v>
      </c>
      <c r="M16" s="48" t="s">
        <v>56</v>
      </c>
      <c r="N16" s="48"/>
      <c r="O16" s="49" t="s">
        <v>57</v>
      </c>
      <c r="P16" s="49" t="s">
        <v>58</v>
      </c>
    </row>
    <row r="17" spans="1:16" ht="12.75" customHeight="1" thickBot="1" x14ac:dyDescent="0.25">
      <c r="A17" s="8" t="str">
        <f t="shared" si="0"/>
        <v> PZP 4.223 </v>
      </c>
      <c r="B17" s="3" t="str">
        <f t="shared" si="1"/>
        <v>I</v>
      </c>
      <c r="C17" s="8">
        <f t="shared" si="2"/>
        <v>43787.294999999998</v>
      </c>
      <c r="D17" s="10" t="str">
        <f t="shared" si="3"/>
        <v>vis</v>
      </c>
      <c r="E17" s="46">
        <f>VLOOKUP(C17,Active!C$21:E$973,3,FALSE)</f>
        <v>32.981957190700065</v>
      </c>
      <c r="F17" s="3" t="s">
        <v>48</v>
      </c>
      <c r="G17" s="10" t="str">
        <f t="shared" si="4"/>
        <v>43787.295</v>
      </c>
      <c r="H17" s="8">
        <f t="shared" si="5"/>
        <v>33</v>
      </c>
      <c r="I17" s="47" t="s">
        <v>74</v>
      </c>
      <c r="J17" s="48" t="s">
        <v>75</v>
      </c>
      <c r="K17" s="47">
        <v>33</v>
      </c>
      <c r="L17" s="47" t="s">
        <v>76</v>
      </c>
      <c r="M17" s="48" t="s">
        <v>56</v>
      </c>
      <c r="N17" s="48"/>
      <c r="O17" s="49" t="s">
        <v>57</v>
      </c>
      <c r="P17" s="49" t="s">
        <v>58</v>
      </c>
    </row>
    <row r="18" spans="1:16" x14ac:dyDescent="0.2">
      <c r="B18" s="3"/>
      <c r="F18" s="3"/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2024-02-04T04:57:22Z</dcterms:modified>
</cp:coreProperties>
</file>