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94C0E2-E067-4144-9770-3BF3D0A902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C7" i="1"/>
  <c r="C8" i="1"/>
  <c r="E23" i="1"/>
  <c r="F23" i="1"/>
  <c r="G23" i="1"/>
  <c r="I23" i="1"/>
  <c r="E21" i="1"/>
  <c r="F21" i="1"/>
  <c r="G21" i="1"/>
  <c r="I21" i="1"/>
  <c r="E22" i="1"/>
  <c r="F22" i="1"/>
  <c r="G22" i="1"/>
  <c r="I22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J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24" i="1"/>
  <c r="F24" i="1"/>
  <c r="D9" i="1"/>
  <c r="C9" i="1"/>
  <c r="Q21" i="1"/>
  <c r="G16" i="2"/>
  <c r="C16" i="2"/>
  <c r="E16" i="2"/>
  <c r="G20" i="2"/>
  <c r="C20" i="2"/>
  <c r="E20" i="2"/>
  <c r="G19" i="2"/>
  <c r="C19" i="2"/>
  <c r="E19" i="2"/>
  <c r="G18" i="2"/>
  <c r="C18" i="2"/>
  <c r="E18" i="2"/>
  <c r="G17" i="2"/>
  <c r="C17" i="2"/>
  <c r="E17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D16" i="2"/>
  <c r="B16" i="2"/>
  <c r="A16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28" i="1"/>
  <c r="Q29" i="1"/>
  <c r="Q30" i="1"/>
  <c r="Q31" i="1"/>
  <c r="Q32" i="1"/>
  <c r="F17" i="1"/>
  <c r="C17" i="1"/>
  <c r="Q27" i="1"/>
  <c r="Q25" i="1"/>
  <c r="Q26" i="1"/>
  <c r="Q23" i="1"/>
  <c r="Q24" i="1"/>
  <c r="C11" i="1"/>
  <c r="C12" i="1"/>
  <c r="C16" i="1" l="1"/>
  <c r="D18" i="1" s="1"/>
  <c r="O26" i="1"/>
  <c r="O27" i="1"/>
  <c r="O32" i="1"/>
  <c r="C15" i="1"/>
  <c r="O31" i="1"/>
  <c r="O22" i="1"/>
  <c r="O29" i="1"/>
  <c r="O25" i="1"/>
  <c r="O24" i="1"/>
  <c r="O30" i="1"/>
  <c r="O28" i="1"/>
  <c r="O23" i="1"/>
  <c r="O21" i="1"/>
  <c r="C18" i="1" l="1"/>
  <c r="F18" i="1"/>
  <c r="F19" i="1" s="1"/>
</calcChain>
</file>

<file path=xl/sharedStrings.xml><?xml version="1.0" encoding="utf-8"?>
<sst xmlns="http://schemas.openxmlformats.org/spreadsheetml/2006/main" count="161" uniqueCount="112">
  <si>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</si>
  <si>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</si>
  <si>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</si>
  <si>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</si>
  <si>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</si>
  <si>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</si>
  <si>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</si>
  <si>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</si>
  <si>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</si>
  <si>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</si>
  <si>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</si>
  <si>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</si>
  <si>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</si>
  <si>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</si>
  <si>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</si>
  <si>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</si>
  <si>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</si>
  <si>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</si>
  <si>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</si>
  <si>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</si>
  <si>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</si>
  <si>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</si>
  <si>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</si>
  <si>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</si>
  <si>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</si>
  <si>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</si>
  <si>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</si>
  <si>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</si>
  <si>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Elias D</t>
  </si>
  <si>
    <t>BBSAG Bull.81</t>
  </si>
  <si>
    <t>B</t>
  </si>
  <si>
    <t>IBVS 4887</t>
  </si>
  <si>
    <t>IBVS 4888</t>
  </si>
  <si>
    <t>IBVS 5583</t>
  </si>
  <si>
    <t>I</t>
  </si>
  <si>
    <t>EA/SD</t>
  </si>
  <si>
    <t># of data points:</t>
  </si>
  <si>
    <t>V1723 Cyg / ??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</si>
  <si>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</si>
  <si>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</si>
  <si>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</si>
  <si>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</si>
  <si>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</si>
  <si>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</si>
  <si>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</si>
  <si>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</si>
  <si>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OEJV 0107</t>
  </si>
  <si>
    <t>IBVS 6149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</si>
  <si>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</si>
  <si>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</si>
  <si>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</si>
  <si>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</si>
  <si>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</si>
  <si>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</si>
  <si>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</si>
  <si>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</si>
  <si>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</si>
  <si>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</si>
  <si>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2450671.4236 </t>
  </si>
  <si>
    <t> 10.08.1997 22:09 </t>
  </si>
  <si>
    <t> 0.0359 </t>
  </si>
  <si>
    <t>E </t>
  </si>
  <si>
    <t>?</t>
  </si>
  <si>
    <t> J.Safar </t>
  </si>
  <si>
    <t>IBVS 4887 </t>
  </si>
  <si>
    <t>2451045.3752 </t>
  </si>
  <si>
    <t> 19.08.1998 21:00 </t>
  </si>
  <si>
    <t> 0.0386 </t>
  </si>
  <si>
    <t> M.Zejda </t>
  </si>
  <si>
    <t>IBVS 4888 </t>
  </si>
  <si>
    <t>2451838.36660 </t>
  </si>
  <si>
    <t> 20.10.2000 20:47 </t>
  </si>
  <si>
    <t> 0.04612 </t>
  </si>
  <si>
    <t>C </t>
  </si>
  <si>
    <t>o</t>
  </si>
  <si>
    <t> D.Motl </t>
  </si>
  <si>
    <t>OEJV 0074 </t>
  </si>
  <si>
    <t>2452027.55340 </t>
  </si>
  <si>
    <t> 28.04.2001 01:16 </t>
  </si>
  <si>
    <t> 0.04836 </t>
  </si>
  <si>
    <t> P.Hájek </t>
  </si>
  <si>
    <t>2452097.3946 </t>
  </si>
  <si>
    <t> 06.07.2001 21:28 </t>
  </si>
  <si>
    <t> 0.0504 </t>
  </si>
  <si>
    <t>IBVS 5583 </t>
  </si>
  <si>
    <t>2452455.4311 </t>
  </si>
  <si>
    <t> 29.06.2002 22:20 </t>
  </si>
  <si>
    <t> 0.0507 </t>
  </si>
  <si>
    <t> R.Diethelm </t>
  </si>
  <si>
    <t> BBS 128 </t>
  </si>
  <si>
    <t>2453638.2759 </t>
  </si>
  <si>
    <t> 24.09.2005 18:37 </t>
  </si>
  <si>
    <t> 0.0500 </t>
  </si>
  <si>
    <t>R</t>
  </si>
  <si>
    <t> M.Lehky </t>
  </si>
  <si>
    <t>OEJV 0107 </t>
  </si>
  <si>
    <t>2454307.5005 </t>
  </si>
  <si>
    <t> 26.07.2007 00:00 </t>
  </si>
  <si>
    <t> 0.0563 </t>
  </si>
  <si>
    <t>2454360.5432 </t>
  </si>
  <si>
    <t> 17.09.2007 01:02 </t>
  </si>
  <si>
    <t> 0.0566 </t>
  </si>
  <si>
    <t>-I</t>
  </si>
  <si>
    <t> F.Agerer </t>
  </si>
  <si>
    <t>BAVM 193 </t>
  </si>
  <si>
    <t>2456877.4122 </t>
  </si>
  <si>
    <t> 07.08.2014 21:53 </t>
  </si>
  <si>
    <t>15987</t>
  </si>
  <si>
    <t> 0.0637 </t>
  </si>
  <si>
    <t> H.Jungbluth </t>
  </si>
  <si>
    <t>BAVM 238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</si>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</sst>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V1723 Cyg - O-C Diagr.</a:t>
            </a:r>
          </a:p>
        </c:rich>
      </c:tx>
      <c:layout>
        <c:manualLayout>
          <c:xMode val="edge"/>
          <c:yMode val="edge"/>
          <c:x val="0.3587306586676665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769252958613219"/>
          <c:w val="0.811112368415749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8-4677-AA6A-11DDE33926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5.0699999999778811E-2</c:v>
                </c:pt>
                <c:pt idx="1">
                  <c:v>5.6599999996251427E-2</c:v>
                </c:pt>
                <c:pt idx="2">
                  <c:v>7.1599999937461689E-3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8-4677-AA6A-11DDE33926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7">
                  <c:v>6.3719999998284038E-2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88-4677-AA6A-11DDE33926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4">
                  <c:v>3.5920000002079178E-2</c:v>
                </c:pt>
                <c:pt idx="5">
                  <c:v>3.8599999999860302E-2</c:v>
                </c:pt>
                <c:pt idx="6">
                  <c:v>5.0400000000081491E-2</c:v>
                </c:pt>
                <c:pt idx="8">
                  <c:v>4.6119999999064021E-2</c:v>
                </c:pt>
                <c:pt idx="9">
                  <c:v>4.8359999993408564E-2</c:v>
                </c:pt>
                <c:pt idx="10">
                  <c:v>5.0020000002405141E-2</c:v>
                </c:pt>
                <c:pt idx="11">
                  <c:v>5.6340000002819579E-2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88-4677-AA6A-11DDE33926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88-4677-AA6A-11DDE33926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88-4677-AA6A-11DDE33926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2.0999999999999999E-3</c:v>
                  </c:pt>
                  <c:pt idx="5">
                    <c:v>1.6999999999999999E-3</c:v>
                  </c:pt>
                  <c:pt idx="6">
                    <c:v>3.5999999999999999E-3</c:v>
                  </c:pt>
                  <c:pt idx="7">
                    <c:v>6.9999999999999999E-4</c:v>
                  </c:pt>
                  <c:pt idx="8">
                    <c:v>0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88-4677-AA6A-11DDE33926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4.5909215357355759E-2</c:v>
                </c:pt>
                <c:pt idx="1">
                  <c:v>5.6427473052832681E-2</c:v>
                </c:pt>
                <c:pt idx="2">
                  <c:v>1.374921537800658E-2</c:v>
                </c:pt>
                <c:pt idx="3">
                  <c:v>-7.7070541483584207E-3</c:v>
                </c:pt>
                <c:pt idx="4">
                  <c:v>3.605963576131286E-2</c:v>
                </c:pt>
                <c:pt idx="5">
                  <c:v>3.8124240404090931E-2</c:v>
                </c:pt>
                <c:pt idx="6">
                  <c:v>4.3932466231291649E-2</c:v>
                </c:pt>
                <c:pt idx="7">
                  <c:v>7.0323287279757424E-2</c:v>
                </c:pt>
                <c:pt idx="8">
                  <c:v>4.2502373653669961E-2</c:v>
                </c:pt>
                <c:pt idx="9">
                  <c:v>4.3546878130158159E-2</c:v>
                </c:pt>
                <c:pt idx="10">
                  <c:v>5.2439808766426815E-2</c:v>
                </c:pt>
                <c:pt idx="11">
                  <c:v>5.613462133045282E-2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88-4677-AA6A-11DDE33926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10985</c:v>
                </c:pt>
                <c:pt idx="1">
                  <c:v>13140</c:v>
                </c:pt>
                <c:pt idx="2">
                  <c:v>4396</c:v>
                </c:pt>
                <c:pt idx="3">
                  <c:v>0</c:v>
                </c:pt>
                <c:pt idx="4">
                  <c:v>8967</c:v>
                </c:pt>
                <c:pt idx="5">
                  <c:v>9390</c:v>
                </c:pt>
                <c:pt idx="6">
                  <c:v>10580</c:v>
                </c:pt>
                <c:pt idx="7">
                  <c:v>15987</c:v>
                </c:pt>
                <c:pt idx="8">
                  <c:v>10287</c:v>
                </c:pt>
                <c:pt idx="9">
                  <c:v>10501</c:v>
                </c:pt>
                <c:pt idx="10">
                  <c:v>12323</c:v>
                </c:pt>
                <c:pt idx="11">
                  <c:v>13080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88-4677-AA6A-11DDE339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72888"/>
        <c:axId val="1"/>
      </c:scatterChart>
      <c:valAx>
        <c:axId val="736472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3570387034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72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42890472024327"/>
          <c:y val="0.92000129214617399"/>
          <c:w val="0.7634932300129150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19050</xdr:rowOff>
    </xdr:from>
    <xdr:to>
      <xdr:col>16</xdr:col>
      <xdr:colOff>447675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33B251-7B04-8CC6-C18C-5CBAAAFCA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583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style="17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17" t="s">
        <v>35</v>
      </c>
    </row>
    <row r="4" spans="1:6" ht="14.25" thickTop="1" thickBot="1" x14ac:dyDescent="0.25">
      <c r="A4" s="6" t="s">
        <v>0</v>
      </c>
      <c r="C4" s="3">
        <v>42744.201000000001</v>
      </c>
      <c r="D4" s="4">
        <v>0.88404000000000005</v>
      </c>
    </row>
    <row r="5" spans="1:6" ht="13.5" thickTop="1" x14ac:dyDescent="0.2">
      <c r="A5" s="14" t="s">
        <v>38</v>
      </c>
      <c r="B5" s="53"/>
      <c r="C5" s="16">
        <v>-9.5</v>
      </c>
      <c r="D5" s="15" t="s">
        <v>39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42744.201000000001</v>
      </c>
    </row>
    <row r="8" spans="1:6" x14ac:dyDescent="0.2">
      <c r="A8" t="s">
        <v>3</v>
      </c>
      <c r="C8">
        <f>+D4</f>
        <v>0.88404000000000005</v>
      </c>
    </row>
    <row r="9" spans="1:6" x14ac:dyDescent="0.2">
      <c r="A9" s="29" t="s">
        <v>43</v>
      </c>
      <c r="B9" s="30">
        <v>22</v>
      </c>
      <c r="C9" s="28" t="str">
        <f>"F"&amp;B9</f>
        <v>F22</v>
      </c>
      <c r="D9" s="10" t="str">
        <f>"G"&amp;B9</f>
        <v>G22</v>
      </c>
    </row>
    <row r="10" spans="1:6" ht="13.5" thickBot="1" x14ac:dyDescent="0.25">
      <c r="A10" s="15"/>
      <c r="B10" s="53"/>
      <c r="C10" s="5" t="s">
        <v>20</v>
      </c>
      <c r="D10" s="5" t="s">
        <v>21</v>
      </c>
      <c r="E10" s="15"/>
    </row>
    <row r="11" spans="1:6" x14ac:dyDescent="0.2">
      <c r="A11" s="15" t="s">
        <v>16</v>
      </c>
      <c r="B11" s="53"/>
      <c r="C11" s="27">
        <f ca="1">INTERCEPT(INDIRECT($D$9):G990,INDIRECT($C$9):F990)</f>
        <v>-7.7070541483584207E-3</v>
      </c>
      <c r="D11" s="17"/>
      <c r="E11" s="15"/>
    </row>
    <row r="12" spans="1:6" x14ac:dyDescent="0.2">
      <c r="A12" s="15" t="s">
        <v>17</v>
      </c>
      <c r="B12" s="53"/>
      <c r="C12" s="27">
        <f ca="1">SLOPE(INDIRECT($D$9):G990,INDIRECT($C$9):F990)</f>
        <v>4.8808620396644679E-6</v>
      </c>
      <c r="D12" s="17"/>
      <c r="E12" s="15"/>
    </row>
    <row r="13" spans="1:6" x14ac:dyDescent="0.2">
      <c r="A13" s="15" t="s">
        <v>19</v>
      </c>
      <c r="B13" s="53"/>
      <c r="C13" s="17" t="s">
        <v>14</v>
      </c>
    </row>
    <row r="14" spans="1:6" x14ac:dyDescent="0.2">
      <c r="A14" s="15"/>
      <c r="B14" s="53"/>
      <c r="C14" s="15"/>
    </row>
    <row r="15" spans="1:6" x14ac:dyDescent="0.2">
      <c r="A15" s="18" t="s">
        <v>18</v>
      </c>
      <c r="B15" s="53"/>
      <c r="C15" s="19">
        <f ca="1">(C7+C11)+(C8+C12)*INT(MAX(F21:F3531))</f>
        <v>56877.418803287277</v>
      </c>
      <c r="E15" s="17"/>
      <c r="F15" s="15"/>
    </row>
    <row r="16" spans="1:6" x14ac:dyDescent="0.2">
      <c r="A16" s="22" t="s">
        <v>4</v>
      </c>
      <c r="B16" s="53"/>
      <c r="C16" s="23">
        <f ca="1">+C8+C12</f>
        <v>0.88404488086203969</v>
      </c>
      <c r="E16" s="15"/>
      <c r="F16" s="15"/>
    </row>
    <row r="17" spans="1:30" ht="13.5" thickBot="1" x14ac:dyDescent="0.25">
      <c r="A17" s="20" t="s">
        <v>36</v>
      </c>
      <c r="B17" s="53"/>
      <c r="C17" s="15">
        <f>COUNT(C21:C2189)</f>
        <v>12</v>
      </c>
      <c r="E17" s="20" t="s">
        <v>40</v>
      </c>
      <c r="F17" s="21">
        <f ca="1">TODAY()+15018.5-B5/24</f>
        <v>60344.5</v>
      </c>
    </row>
    <row r="18" spans="1:30" ht="14.25" thickTop="1" thickBot="1" x14ac:dyDescent="0.25">
      <c r="A18" s="22" t="s">
        <v>5</v>
      </c>
      <c r="B18" s="53"/>
      <c r="C18" s="25">
        <f ca="1">+C15</f>
        <v>56877.418803287277</v>
      </c>
      <c r="D18" s="26">
        <f ca="1">+C16</f>
        <v>0.88404488086203969</v>
      </c>
      <c r="E18" s="20" t="s">
        <v>41</v>
      </c>
      <c r="F18" s="21">
        <f ca="1">ROUND(2*(F17-C15)/C16,0)/2+1</f>
        <v>3923</v>
      </c>
    </row>
    <row r="19" spans="1:30" ht="13.5" thickTop="1" x14ac:dyDescent="0.2">
      <c r="E19" s="20" t="s">
        <v>42</v>
      </c>
      <c r="F19" s="24">
        <f ca="1">+C15+C16*F18-15018.5-C5/24</f>
        <v>45327.422704242395</v>
      </c>
    </row>
    <row r="20" spans="1:30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54</v>
      </c>
      <c r="I20" s="8" t="s">
        <v>57</v>
      </c>
      <c r="J20" s="8" t="s">
        <v>51</v>
      </c>
      <c r="K20" s="8" t="s">
        <v>45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6" t="s">
        <v>111</v>
      </c>
    </row>
    <row r="21" spans="1:30" x14ac:dyDescent="0.2">
      <c r="A21" s="51" t="s">
        <v>89</v>
      </c>
      <c r="B21" s="55" t="s">
        <v>34</v>
      </c>
      <c r="C21" s="52">
        <v>52455.431100000002</v>
      </c>
      <c r="D21" s="52" t="s">
        <v>57</v>
      </c>
      <c r="E21">
        <f t="shared" ref="E21:E32" si="0">+(C21-C$7)/C$8</f>
        <v>10985.057350346138</v>
      </c>
      <c r="F21">
        <f t="shared" ref="F21:F32" si="1">ROUND(2*E21,0)/2</f>
        <v>10985</v>
      </c>
      <c r="G21">
        <f>+C21-(C$7+F21*C$8)</f>
        <v>5.0699999999778811E-2</v>
      </c>
      <c r="I21">
        <f>+G21</f>
        <v>5.0699999999778811E-2</v>
      </c>
      <c r="O21">
        <f t="shared" ref="O21:O32" ca="1" si="2">+C$11+C$12*F21</f>
        <v>4.5909215357355759E-2</v>
      </c>
      <c r="Q21" s="2">
        <f t="shared" ref="Q21:Q32" si="3">+C21-15018.5</f>
        <v>37436.931100000002</v>
      </c>
    </row>
    <row r="22" spans="1:30" x14ac:dyDescent="0.2">
      <c r="A22" s="51" t="s">
        <v>104</v>
      </c>
      <c r="B22" s="55" t="s">
        <v>34</v>
      </c>
      <c r="C22" s="52">
        <v>54360.5432</v>
      </c>
      <c r="D22" s="52" t="s">
        <v>57</v>
      </c>
      <c r="E22">
        <f t="shared" si="0"/>
        <v>13140.064024252295</v>
      </c>
      <c r="F22">
        <f t="shared" si="1"/>
        <v>13140</v>
      </c>
      <c r="G22">
        <f>+C22-(C$7+F22*C$8)</f>
        <v>5.6599999996251427E-2</v>
      </c>
      <c r="I22">
        <f>+G22</f>
        <v>5.6599999996251427E-2</v>
      </c>
      <c r="O22">
        <f t="shared" ca="1" si="2"/>
        <v>5.6427473052832681E-2</v>
      </c>
      <c r="Q22" s="2">
        <f t="shared" si="3"/>
        <v>39342.0432</v>
      </c>
    </row>
    <row r="23" spans="1:30" x14ac:dyDescent="0.2">
      <c r="A23" t="s">
        <v>29</v>
      </c>
      <c r="C23" s="13">
        <v>46630.447999999997</v>
      </c>
      <c r="D23" s="11"/>
      <c r="E23">
        <f t="shared" si="0"/>
        <v>4396.0080991810273</v>
      </c>
      <c r="F23">
        <f t="shared" si="1"/>
        <v>4396</v>
      </c>
      <c r="G23">
        <f>+C23-(C$7+F23*C$8)</f>
        <v>7.1599999937461689E-3</v>
      </c>
      <c r="I23">
        <f>+G23</f>
        <v>7.1599999937461689E-3</v>
      </c>
      <c r="O23">
        <f t="shared" ca="1" si="2"/>
        <v>1.374921537800658E-2</v>
      </c>
      <c r="Q23" s="2">
        <f t="shared" si="3"/>
        <v>31611.947999999997</v>
      </c>
      <c r="AA23">
        <v>28</v>
      </c>
      <c r="AB23" t="s">
        <v>28</v>
      </c>
      <c r="AD23" t="s">
        <v>30</v>
      </c>
    </row>
    <row r="24" spans="1:30" x14ac:dyDescent="0.2">
      <c r="A24" t="s">
        <v>12</v>
      </c>
      <c r="C24" s="11">
        <v>42744.201000000001</v>
      </c>
      <c r="D24" s="11" t="s">
        <v>14</v>
      </c>
      <c r="E24">
        <f t="shared" si="0"/>
        <v>0</v>
      </c>
      <c r="F24">
        <f t="shared" si="1"/>
        <v>0</v>
      </c>
      <c r="H24" s="10">
        <v>0</v>
      </c>
      <c r="O24">
        <f t="shared" ca="1" si="2"/>
        <v>-7.7070541483584207E-3</v>
      </c>
      <c r="Q24" s="2">
        <f t="shared" si="3"/>
        <v>27725.701000000001</v>
      </c>
    </row>
    <row r="25" spans="1:30" x14ac:dyDescent="0.2">
      <c r="A25" t="s">
        <v>31</v>
      </c>
      <c r="C25" s="11">
        <v>50671.423600000002</v>
      </c>
      <c r="D25" s="11">
        <v>2.0999999999999999E-3</v>
      </c>
      <c r="E25">
        <f t="shared" si="0"/>
        <v>8967.0406316456283</v>
      </c>
      <c r="F25">
        <f t="shared" si="1"/>
        <v>8967</v>
      </c>
      <c r="G25">
        <f t="shared" ref="G25:G32" si="4">+C25-(C$7+F25*C$8)</f>
        <v>3.5920000002079178E-2</v>
      </c>
      <c r="K25">
        <f>+G25</f>
        <v>3.5920000002079178E-2</v>
      </c>
      <c r="O25">
        <f t="shared" ca="1" si="2"/>
        <v>3.605963576131286E-2</v>
      </c>
      <c r="Q25" s="2">
        <f t="shared" si="3"/>
        <v>35652.923600000002</v>
      </c>
    </row>
    <row r="26" spans="1:30" x14ac:dyDescent="0.2">
      <c r="A26" t="s">
        <v>32</v>
      </c>
      <c r="C26" s="11">
        <v>51045.375200000002</v>
      </c>
      <c r="D26" s="11">
        <v>1.6999999999999999E-3</v>
      </c>
      <c r="E26">
        <f t="shared" si="0"/>
        <v>9390.0436631826615</v>
      </c>
      <c r="F26">
        <f t="shared" si="1"/>
        <v>9390</v>
      </c>
      <c r="G26">
        <f t="shared" si="4"/>
        <v>3.8599999999860302E-2</v>
      </c>
      <c r="K26">
        <f>+G26</f>
        <v>3.8599999999860302E-2</v>
      </c>
      <c r="O26">
        <f t="shared" ca="1" si="2"/>
        <v>3.8124240404090931E-2</v>
      </c>
      <c r="Q26" s="2">
        <f t="shared" si="3"/>
        <v>36026.875200000002</v>
      </c>
    </row>
    <row r="27" spans="1:30" x14ac:dyDescent="0.2">
      <c r="A27" s="9" t="s">
        <v>33</v>
      </c>
      <c r="B27" s="54" t="s">
        <v>34</v>
      </c>
      <c r="C27" s="12">
        <v>52097.3946</v>
      </c>
      <c r="D27" s="12">
        <v>3.5999999999999999E-3</v>
      </c>
      <c r="E27">
        <f t="shared" si="0"/>
        <v>10580.057010994975</v>
      </c>
      <c r="F27">
        <f t="shared" si="1"/>
        <v>10580</v>
      </c>
      <c r="G27">
        <f t="shared" si="4"/>
        <v>5.0400000000081491E-2</v>
      </c>
      <c r="K27">
        <f>+G27</f>
        <v>5.0400000000081491E-2</v>
      </c>
      <c r="O27">
        <f t="shared" ca="1" si="2"/>
        <v>4.3932466231291649E-2</v>
      </c>
      <c r="Q27" s="2">
        <f t="shared" si="3"/>
        <v>37078.8946</v>
      </c>
    </row>
    <row r="28" spans="1:30" x14ac:dyDescent="0.2">
      <c r="A28" s="36" t="s">
        <v>47</v>
      </c>
      <c r="B28" s="37" t="s">
        <v>34</v>
      </c>
      <c r="C28" s="36">
        <v>56877.412199999999</v>
      </c>
      <c r="D28" s="36">
        <v>6.9999999999999999E-4</v>
      </c>
      <c r="E28">
        <f t="shared" si="0"/>
        <v>15987.072078186504</v>
      </c>
      <c r="F28">
        <f t="shared" si="1"/>
        <v>15987</v>
      </c>
      <c r="G28">
        <f t="shared" si="4"/>
        <v>6.3719999998284038E-2</v>
      </c>
      <c r="J28">
        <f>+G28</f>
        <v>6.3719999998284038E-2</v>
      </c>
      <c r="O28">
        <f t="shared" ca="1" si="2"/>
        <v>7.0323287279757424E-2</v>
      </c>
      <c r="Q28" s="2">
        <f t="shared" si="3"/>
        <v>41858.912199999999</v>
      </c>
    </row>
    <row r="29" spans="1:30" x14ac:dyDescent="0.2">
      <c r="A29" s="31" t="s">
        <v>44</v>
      </c>
      <c r="B29" s="32" t="s">
        <v>34</v>
      </c>
      <c r="C29" s="31">
        <v>51838.366600000001</v>
      </c>
      <c r="D29" s="31" t="s">
        <v>45</v>
      </c>
      <c r="E29">
        <f t="shared" si="0"/>
        <v>10287.052169585086</v>
      </c>
      <c r="F29">
        <f t="shared" si="1"/>
        <v>10287</v>
      </c>
      <c r="G29">
        <f t="shared" si="4"/>
        <v>4.6119999999064021E-2</v>
      </c>
      <c r="K29">
        <f>+G29</f>
        <v>4.6119999999064021E-2</v>
      </c>
      <c r="O29">
        <f t="shared" ca="1" si="2"/>
        <v>4.2502373653669961E-2</v>
      </c>
      <c r="Q29" s="2">
        <f t="shared" si="3"/>
        <v>36819.866600000001</v>
      </c>
    </row>
    <row r="30" spans="1:30" x14ac:dyDescent="0.2">
      <c r="A30" s="31" t="s">
        <v>44</v>
      </c>
      <c r="B30" s="32" t="s">
        <v>34</v>
      </c>
      <c r="C30" s="31">
        <v>52027.553399999997</v>
      </c>
      <c r="D30" s="31" t="s">
        <v>45</v>
      </c>
      <c r="E30">
        <f t="shared" si="0"/>
        <v>10501.054703407081</v>
      </c>
      <c r="F30">
        <f t="shared" si="1"/>
        <v>10501</v>
      </c>
      <c r="G30">
        <f t="shared" si="4"/>
        <v>4.8359999993408564E-2</v>
      </c>
      <c r="K30">
        <f>+G30</f>
        <v>4.8359999993408564E-2</v>
      </c>
      <c r="O30">
        <f t="shared" ca="1" si="2"/>
        <v>4.3546878130158159E-2</v>
      </c>
      <c r="Q30" s="2">
        <f t="shared" si="3"/>
        <v>37009.053399999997</v>
      </c>
    </row>
    <row r="31" spans="1:30" x14ac:dyDescent="0.2">
      <c r="A31" s="33" t="s">
        <v>46</v>
      </c>
      <c r="B31" s="34" t="s">
        <v>34</v>
      </c>
      <c r="C31" s="35">
        <v>53638.27594</v>
      </c>
      <c r="D31" s="35">
        <v>1E-4</v>
      </c>
      <c r="E31">
        <f t="shared" si="0"/>
        <v>12323.056581150173</v>
      </c>
      <c r="F31">
        <f t="shared" si="1"/>
        <v>12323</v>
      </c>
      <c r="G31">
        <f t="shared" si="4"/>
        <v>5.0020000002405141E-2</v>
      </c>
      <c r="K31">
        <f>+G31</f>
        <v>5.0020000002405141E-2</v>
      </c>
      <c r="O31">
        <f t="shared" ca="1" si="2"/>
        <v>5.2439808766426815E-2</v>
      </c>
      <c r="Q31" s="2">
        <f t="shared" si="3"/>
        <v>38619.77594</v>
      </c>
    </row>
    <row r="32" spans="1:30" x14ac:dyDescent="0.2">
      <c r="A32" s="33" t="s">
        <v>46</v>
      </c>
      <c r="B32" s="34" t="s">
        <v>34</v>
      </c>
      <c r="C32" s="35">
        <v>54307.500540000001</v>
      </c>
      <c r="D32" s="35">
        <v>1E-4</v>
      </c>
      <c r="E32">
        <f t="shared" si="0"/>
        <v>13080.063730147956</v>
      </c>
      <c r="F32">
        <f t="shared" si="1"/>
        <v>13080</v>
      </c>
      <c r="G32">
        <f t="shared" si="4"/>
        <v>5.6340000002819579E-2</v>
      </c>
      <c r="K32">
        <f>+G32</f>
        <v>5.6340000002819579E-2</v>
      </c>
      <c r="O32">
        <f t="shared" ca="1" si="2"/>
        <v>5.613462133045282E-2</v>
      </c>
      <c r="Q32" s="2">
        <f t="shared" si="3"/>
        <v>39289.000540000001</v>
      </c>
    </row>
    <row r="33" spans="3:4" x14ac:dyDescent="0.2">
      <c r="C33" s="11"/>
      <c r="D33" s="11"/>
    </row>
    <row r="34" spans="3:4" x14ac:dyDescent="0.2">
      <c r="C34" s="11"/>
      <c r="D34" s="11"/>
    </row>
    <row r="35" spans="3:4" x14ac:dyDescent="0.2">
      <c r="C35" s="11"/>
      <c r="D35" s="11"/>
    </row>
    <row r="36" spans="3:4" x14ac:dyDescent="0.2">
      <c r="C36" s="11"/>
      <c r="D36" s="11"/>
    </row>
    <row r="37" spans="3:4" x14ac:dyDescent="0.2">
      <c r="C37" s="11"/>
      <c r="D37" s="11"/>
    </row>
    <row r="38" spans="3:4" x14ac:dyDescent="0.2">
      <c r="C38" s="11"/>
      <c r="D38" s="11"/>
    </row>
    <row r="39" spans="3:4" x14ac:dyDescent="0.2">
      <c r="C39" s="11"/>
      <c r="D39" s="11"/>
    </row>
    <row r="40" spans="3:4" x14ac:dyDescent="0.2">
      <c r="C40" s="11"/>
      <c r="D40" s="11"/>
    </row>
    <row r="41" spans="3:4" x14ac:dyDescent="0.2">
      <c r="C41" s="11"/>
      <c r="D41" s="11"/>
    </row>
    <row r="42" spans="3:4" x14ac:dyDescent="0.2">
      <c r="C42" s="11"/>
      <c r="D42" s="11"/>
    </row>
    <row r="43" spans="3:4" x14ac:dyDescent="0.2">
      <c r="C43" s="11"/>
      <c r="D43" s="11"/>
    </row>
    <row r="44" spans="3:4" x14ac:dyDescent="0.2">
      <c r="C44" s="11"/>
      <c r="D44" s="11"/>
    </row>
    <row r="45" spans="3:4" x14ac:dyDescent="0.2">
      <c r="C45" s="11"/>
      <c r="D45" s="11"/>
    </row>
    <row r="46" spans="3:4" x14ac:dyDescent="0.2">
      <c r="C46" s="11"/>
      <c r="D46" s="11"/>
    </row>
    <row r="47" spans="3:4" x14ac:dyDescent="0.2">
      <c r="C47" s="11"/>
      <c r="D47" s="11"/>
    </row>
    <row r="48" spans="3:4" x14ac:dyDescent="0.2">
      <c r="C48" s="11"/>
      <c r="D48" s="11"/>
    </row>
    <row r="49" spans="3:4" x14ac:dyDescent="0.2">
      <c r="C49" s="11"/>
      <c r="D49" s="11"/>
    </row>
    <row r="50" spans="3:4" x14ac:dyDescent="0.2">
      <c r="C50" s="11"/>
      <c r="D50" s="11"/>
    </row>
    <row r="51" spans="3:4" x14ac:dyDescent="0.2">
      <c r="C51" s="11"/>
      <c r="D51" s="11"/>
    </row>
    <row r="52" spans="3:4" x14ac:dyDescent="0.2">
      <c r="C52" s="11"/>
      <c r="D52" s="11"/>
    </row>
    <row r="53" spans="3:4" x14ac:dyDescent="0.2">
      <c r="C53" s="11"/>
      <c r="D53" s="11"/>
    </row>
    <row r="54" spans="3:4" x14ac:dyDescent="0.2">
      <c r="C54" s="11"/>
      <c r="D54" s="11"/>
    </row>
    <row r="55" spans="3:4" x14ac:dyDescent="0.2">
      <c r="C55" s="11"/>
      <c r="D55" s="11"/>
    </row>
    <row r="56" spans="3:4" x14ac:dyDescent="0.2">
      <c r="C56" s="11"/>
      <c r="D56" s="11"/>
    </row>
    <row r="57" spans="3:4" x14ac:dyDescent="0.2">
      <c r="C57" s="11"/>
      <c r="D57" s="11"/>
    </row>
    <row r="58" spans="3:4" x14ac:dyDescent="0.2">
      <c r="C58" s="11"/>
      <c r="D58" s="11"/>
    </row>
    <row r="59" spans="3:4" x14ac:dyDescent="0.2">
      <c r="C59" s="11"/>
      <c r="D59" s="11"/>
    </row>
    <row r="60" spans="3:4" x14ac:dyDescent="0.2">
      <c r="C60" s="11"/>
      <c r="D60" s="11"/>
    </row>
    <row r="61" spans="3:4" x14ac:dyDescent="0.2">
      <c r="C61" s="11"/>
      <c r="D61" s="11"/>
    </row>
    <row r="62" spans="3:4" x14ac:dyDescent="0.2">
      <c r="C62" s="11"/>
      <c r="D62" s="11"/>
    </row>
    <row r="63" spans="3:4" x14ac:dyDescent="0.2">
      <c r="C63" s="11"/>
      <c r="D63" s="11"/>
    </row>
    <row r="64" spans="3:4" x14ac:dyDescent="0.2">
      <c r="C64" s="11"/>
      <c r="D64" s="11"/>
    </row>
    <row r="65" spans="3:4" x14ac:dyDescent="0.2">
      <c r="C65" s="11"/>
      <c r="D65" s="11"/>
    </row>
    <row r="66" spans="3:4" x14ac:dyDescent="0.2">
      <c r="C66" s="11"/>
      <c r="D66" s="11"/>
    </row>
    <row r="67" spans="3:4" x14ac:dyDescent="0.2">
      <c r="C67" s="11"/>
      <c r="D67" s="11"/>
    </row>
    <row r="68" spans="3:4" x14ac:dyDescent="0.2">
      <c r="C68" s="11"/>
      <c r="D68" s="11"/>
    </row>
    <row r="69" spans="3:4" x14ac:dyDescent="0.2">
      <c r="C69" s="11"/>
      <c r="D69" s="11"/>
    </row>
    <row r="70" spans="3:4" x14ac:dyDescent="0.2">
      <c r="C70" s="11"/>
      <c r="D70" s="11"/>
    </row>
    <row r="71" spans="3:4" x14ac:dyDescent="0.2">
      <c r="C71" s="11"/>
      <c r="D71" s="11"/>
    </row>
    <row r="72" spans="3:4" x14ac:dyDescent="0.2">
      <c r="C72" s="11"/>
      <c r="D72" s="11"/>
    </row>
    <row r="73" spans="3:4" x14ac:dyDescent="0.2">
      <c r="C73" s="11"/>
      <c r="D73" s="11"/>
    </row>
    <row r="74" spans="3:4" x14ac:dyDescent="0.2">
      <c r="C74" s="11"/>
      <c r="D74" s="11"/>
    </row>
    <row r="75" spans="3:4" x14ac:dyDescent="0.2">
      <c r="C75" s="11"/>
      <c r="D75" s="11"/>
    </row>
    <row r="76" spans="3:4" x14ac:dyDescent="0.2">
      <c r="C76" s="11"/>
      <c r="D76" s="11"/>
    </row>
    <row r="77" spans="3:4" x14ac:dyDescent="0.2">
      <c r="C77" s="11"/>
      <c r="D77" s="11"/>
    </row>
    <row r="78" spans="3:4" x14ac:dyDescent="0.2">
      <c r="C78" s="11"/>
      <c r="D78" s="11"/>
    </row>
    <row r="79" spans="3:4" x14ac:dyDescent="0.2">
      <c r="C79" s="11"/>
      <c r="D79" s="11"/>
    </row>
    <row r="80" spans="3:4" x14ac:dyDescent="0.2">
      <c r="C80" s="11"/>
      <c r="D80" s="11"/>
    </row>
    <row r="81" spans="3:4" x14ac:dyDescent="0.2">
      <c r="C81" s="11"/>
      <c r="D81" s="11"/>
    </row>
    <row r="82" spans="3:4" x14ac:dyDescent="0.2">
      <c r="C82" s="11"/>
      <c r="D82" s="11"/>
    </row>
    <row r="83" spans="3:4" x14ac:dyDescent="0.2">
      <c r="C83" s="11"/>
      <c r="D83" s="11"/>
    </row>
    <row r="84" spans="3:4" x14ac:dyDescent="0.2">
      <c r="C84" s="11"/>
      <c r="D84" s="11"/>
    </row>
    <row r="85" spans="3:4" x14ac:dyDescent="0.2">
      <c r="C85" s="11"/>
      <c r="D85" s="11"/>
    </row>
    <row r="86" spans="3:4" x14ac:dyDescent="0.2">
      <c r="C86" s="11"/>
      <c r="D86" s="11"/>
    </row>
    <row r="87" spans="3:4" x14ac:dyDescent="0.2">
      <c r="C87" s="11"/>
      <c r="D87" s="11"/>
    </row>
    <row r="88" spans="3:4" x14ac:dyDescent="0.2">
      <c r="C88" s="11"/>
      <c r="D88" s="11"/>
    </row>
    <row r="89" spans="3:4" x14ac:dyDescent="0.2">
      <c r="C89" s="11"/>
      <c r="D89" s="11"/>
    </row>
    <row r="90" spans="3:4" x14ac:dyDescent="0.2">
      <c r="C90" s="11"/>
      <c r="D90" s="11"/>
    </row>
    <row r="91" spans="3:4" x14ac:dyDescent="0.2">
      <c r="C91" s="11"/>
      <c r="D91" s="11"/>
    </row>
    <row r="92" spans="3:4" x14ac:dyDescent="0.2">
      <c r="C92" s="11"/>
      <c r="D92" s="11"/>
    </row>
    <row r="93" spans="3:4" x14ac:dyDescent="0.2">
      <c r="C93" s="11"/>
      <c r="D93" s="11"/>
    </row>
    <row r="94" spans="3:4" x14ac:dyDescent="0.2">
      <c r="C94" s="11"/>
      <c r="D94" s="11"/>
    </row>
    <row r="95" spans="3:4" x14ac:dyDescent="0.2">
      <c r="C95" s="11"/>
      <c r="D95" s="11"/>
    </row>
    <row r="96" spans="3:4" x14ac:dyDescent="0.2">
      <c r="C96" s="11"/>
      <c r="D96" s="11"/>
    </row>
    <row r="97" spans="3:4" x14ac:dyDescent="0.2">
      <c r="C97" s="11"/>
      <c r="D97" s="11"/>
    </row>
    <row r="98" spans="3:4" x14ac:dyDescent="0.2">
      <c r="C98" s="11"/>
      <c r="D98" s="11"/>
    </row>
    <row r="99" spans="3:4" x14ac:dyDescent="0.2">
      <c r="C99" s="11"/>
      <c r="D99" s="11"/>
    </row>
    <row r="100" spans="3:4" x14ac:dyDescent="0.2">
      <c r="C100" s="11"/>
      <c r="D100" s="11"/>
    </row>
    <row r="101" spans="3:4" x14ac:dyDescent="0.2">
      <c r="C101" s="11"/>
      <c r="D101" s="11"/>
    </row>
    <row r="102" spans="3:4" x14ac:dyDescent="0.2">
      <c r="C102" s="11"/>
      <c r="D102" s="11"/>
    </row>
    <row r="103" spans="3:4" x14ac:dyDescent="0.2">
      <c r="C103" s="11"/>
      <c r="D103" s="11"/>
    </row>
    <row r="104" spans="3:4" x14ac:dyDescent="0.2">
      <c r="C104" s="11"/>
      <c r="D104" s="11"/>
    </row>
    <row r="105" spans="3:4" x14ac:dyDescent="0.2">
      <c r="C105" s="11"/>
      <c r="D105" s="11"/>
    </row>
    <row r="106" spans="3:4" x14ac:dyDescent="0.2">
      <c r="C106" s="11"/>
      <c r="D106" s="11"/>
    </row>
    <row r="107" spans="3:4" x14ac:dyDescent="0.2">
      <c r="C107" s="11"/>
      <c r="D107" s="11"/>
    </row>
    <row r="108" spans="3:4" x14ac:dyDescent="0.2">
      <c r="C108" s="11"/>
      <c r="D108" s="11"/>
    </row>
    <row r="109" spans="3:4" x14ac:dyDescent="0.2">
      <c r="C109" s="11"/>
      <c r="D109" s="11"/>
    </row>
    <row r="110" spans="3:4" x14ac:dyDescent="0.2">
      <c r="C110" s="11"/>
      <c r="D110" s="11"/>
    </row>
    <row r="111" spans="3:4" x14ac:dyDescent="0.2">
      <c r="C111" s="11"/>
      <c r="D111" s="11"/>
    </row>
    <row r="112" spans="3:4" x14ac:dyDescent="0.2">
      <c r="C112" s="11"/>
      <c r="D112" s="11"/>
    </row>
    <row r="113" spans="3:4" x14ac:dyDescent="0.2">
      <c r="C113" s="11"/>
      <c r="D113" s="11"/>
    </row>
    <row r="114" spans="3:4" x14ac:dyDescent="0.2">
      <c r="C114" s="11"/>
      <c r="D114" s="11"/>
    </row>
    <row r="115" spans="3:4" x14ac:dyDescent="0.2">
      <c r="C115" s="11"/>
      <c r="D115" s="11"/>
    </row>
    <row r="116" spans="3:4" x14ac:dyDescent="0.2">
      <c r="C116" s="11"/>
      <c r="D116" s="11"/>
    </row>
    <row r="117" spans="3:4" x14ac:dyDescent="0.2">
      <c r="C117" s="11"/>
      <c r="D117" s="11"/>
    </row>
    <row r="118" spans="3:4" x14ac:dyDescent="0.2">
      <c r="C118" s="11"/>
      <c r="D118" s="11"/>
    </row>
    <row r="119" spans="3:4" x14ac:dyDescent="0.2">
      <c r="C119" s="11"/>
      <c r="D119" s="11"/>
    </row>
    <row r="120" spans="3:4" x14ac:dyDescent="0.2">
      <c r="C120" s="11"/>
      <c r="D120" s="11"/>
    </row>
    <row r="121" spans="3:4" x14ac:dyDescent="0.2">
      <c r="C121" s="11"/>
      <c r="D121" s="11"/>
    </row>
    <row r="122" spans="3:4" x14ac:dyDescent="0.2">
      <c r="C122" s="11"/>
      <c r="D122" s="11"/>
    </row>
    <row r="123" spans="3:4" x14ac:dyDescent="0.2">
      <c r="C123" s="11"/>
      <c r="D123" s="11"/>
    </row>
    <row r="124" spans="3:4" x14ac:dyDescent="0.2">
      <c r="C124" s="11"/>
      <c r="D124" s="11"/>
    </row>
    <row r="125" spans="3:4" x14ac:dyDescent="0.2">
      <c r="C125" s="11"/>
      <c r="D125" s="11"/>
    </row>
    <row r="126" spans="3:4" x14ac:dyDescent="0.2">
      <c r="C126" s="11"/>
      <c r="D126" s="11"/>
    </row>
    <row r="127" spans="3:4" x14ac:dyDescent="0.2">
      <c r="C127" s="11"/>
      <c r="D127" s="11"/>
    </row>
    <row r="128" spans="3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17" sqref="A17:D20"/>
    </sheetView>
  </sheetViews>
  <sheetFormatPr defaultRowHeight="12.75" x14ac:dyDescent="0.2"/>
  <cols>
    <col min="1" max="1" width="19.7109375" style="11" customWidth="1"/>
    <col min="2" max="2" width="4.42578125" style="15" customWidth="1"/>
    <col min="3" max="3" width="12.7109375" style="11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1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8" t="s">
        <v>48</v>
      </c>
      <c r="I1" s="39" t="s">
        <v>49</v>
      </c>
      <c r="J1" s="40" t="s">
        <v>45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1" t="str">
        <f t="shared" ref="A11:A20" si="0">P11</f>
        <v>IBVS 4887 </v>
      </c>
      <c r="B11" s="17" t="str">
        <f t="shared" ref="B11:B20" si="1">IF(H11=INT(H11),"I","II")</f>
        <v>I</v>
      </c>
      <c r="C11" s="11">
        <f t="shared" ref="C11:C20" si="2">1*G11</f>
        <v>50671.423600000002</v>
      </c>
      <c r="D11" s="15" t="str">
        <f t="shared" ref="D11:D20" si="3">VLOOKUP(F11,I$1:J$5,2,FALSE)</f>
        <v>vis</v>
      </c>
      <c r="E11" s="46">
        <f>VLOOKUP(C11,Active!C$21:E$971,3,FALSE)</f>
        <v>8967.0406316456283</v>
      </c>
      <c r="F11" s="17" t="s">
        <v>56</v>
      </c>
      <c r="G11" s="15" t="str">
        <f t="shared" ref="G11:G20" si="4">MID(I11,3,LEN(I11)-3)</f>
        <v>50671.4236</v>
      </c>
      <c r="H11" s="11">
        <f t="shared" ref="H11:H20" si="5">1*K11</f>
        <v>8967</v>
      </c>
      <c r="I11" s="47" t="s">
        <v>58</v>
      </c>
      <c r="J11" s="48" t="s">
        <v>59</v>
      </c>
      <c r="K11" s="47">
        <v>8967</v>
      </c>
      <c r="L11" s="47" t="s">
        <v>60</v>
      </c>
      <c r="M11" s="48" t="s">
        <v>61</v>
      </c>
      <c r="N11" s="48" t="s">
        <v>62</v>
      </c>
      <c r="O11" s="49" t="s">
        <v>63</v>
      </c>
      <c r="P11" s="50" t="s">
        <v>64</v>
      </c>
    </row>
    <row r="12" spans="1:16" ht="12.75" customHeight="1" thickBot="1" x14ac:dyDescent="0.25">
      <c r="A12" s="11" t="str">
        <f t="shared" si="0"/>
        <v>IBVS 4888 </v>
      </c>
      <c r="B12" s="17" t="str">
        <f t="shared" si="1"/>
        <v>I</v>
      </c>
      <c r="C12" s="11">
        <f t="shared" si="2"/>
        <v>51045.375200000002</v>
      </c>
      <c r="D12" s="15" t="str">
        <f t="shared" si="3"/>
        <v>vis</v>
      </c>
      <c r="E12" s="46">
        <f>VLOOKUP(C12,Active!C$21:E$971,3,FALSE)</f>
        <v>9390.0436631826615</v>
      </c>
      <c r="F12" s="17" t="s">
        <v>56</v>
      </c>
      <c r="G12" s="15" t="str">
        <f t="shared" si="4"/>
        <v>51045.3752</v>
      </c>
      <c r="H12" s="11">
        <f t="shared" si="5"/>
        <v>9390</v>
      </c>
      <c r="I12" s="47" t="s">
        <v>65</v>
      </c>
      <c r="J12" s="48" t="s">
        <v>66</v>
      </c>
      <c r="K12" s="47">
        <v>9390</v>
      </c>
      <c r="L12" s="47" t="s">
        <v>67</v>
      </c>
      <c r="M12" s="48" t="s">
        <v>61</v>
      </c>
      <c r="N12" s="48" t="s">
        <v>62</v>
      </c>
      <c r="O12" s="49" t="s">
        <v>68</v>
      </c>
      <c r="P12" s="50" t="s">
        <v>69</v>
      </c>
    </row>
    <row r="13" spans="1:16" ht="12.75" customHeight="1" thickBot="1" x14ac:dyDescent="0.25">
      <c r="A13" s="11" t="str">
        <f t="shared" si="0"/>
        <v>OEJV 0074 </v>
      </c>
      <c r="B13" s="17" t="str">
        <f t="shared" si="1"/>
        <v>I</v>
      </c>
      <c r="C13" s="11">
        <f t="shared" si="2"/>
        <v>51838.366600000001</v>
      </c>
      <c r="D13" s="15" t="str">
        <f t="shared" si="3"/>
        <v>vis</v>
      </c>
      <c r="E13" s="46">
        <f>VLOOKUP(C13,Active!C$21:E$971,3,FALSE)</f>
        <v>10287.052169585086</v>
      </c>
      <c r="F13" s="17" t="s">
        <v>56</v>
      </c>
      <c r="G13" s="15" t="str">
        <f t="shared" si="4"/>
        <v>51838.36660</v>
      </c>
      <c r="H13" s="11">
        <f t="shared" si="5"/>
        <v>10287</v>
      </c>
      <c r="I13" s="47" t="s">
        <v>70</v>
      </c>
      <c r="J13" s="48" t="s">
        <v>71</v>
      </c>
      <c r="K13" s="47">
        <v>10287</v>
      </c>
      <c r="L13" s="47" t="s">
        <v>72</v>
      </c>
      <c r="M13" s="48" t="s">
        <v>73</v>
      </c>
      <c r="N13" s="48" t="s">
        <v>74</v>
      </c>
      <c r="O13" s="49" t="s">
        <v>75</v>
      </c>
      <c r="P13" s="50" t="s">
        <v>76</v>
      </c>
    </row>
    <row r="14" spans="1:16" ht="12.75" customHeight="1" thickBot="1" x14ac:dyDescent="0.25">
      <c r="A14" s="11" t="str">
        <f t="shared" si="0"/>
        <v>OEJV 0074 </v>
      </c>
      <c r="B14" s="17" t="str">
        <f t="shared" si="1"/>
        <v>I</v>
      </c>
      <c r="C14" s="11">
        <f t="shared" si="2"/>
        <v>52027.553399999997</v>
      </c>
      <c r="D14" s="15" t="str">
        <f t="shared" si="3"/>
        <v>vis</v>
      </c>
      <c r="E14" s="46">
        <f>VLOOKUP(C14,Active!C$21:E$971,3,FALSE)</f>
        <v>10501.054703407081</v>
      </c>
      <c r="F14" s="17" t="s">
        <v>56</v>
      </c>
      <c r="G14" s="15" t="str">
        <f t="shared" si="4"/>
        <v>52027.55340</v>
      </c>
      <c r="H14" s="11">
        <f t="shared" si="5"/>
        <v>10501</v>
      </c>
      <c r="I14" s="47" t="s">
        <v>77</v>
      </c>
      <c r="J14" s="48" t="s">
        <v>78</v>
      </c>
      <c r="K14" s="47">
        <v>10501</v>
      </c>
      <c r="L14" s="47" t="s">
        <v>79</v>
      </c>
      <c r="M14" s="48" t="s">
        <v>73</v>
      </c>
      <c r="N14" s="48" t="s">
        <v>74</v>
      </c>
      <c r="O14" s="49" t="s">
        <v>80</v>
      </c>
      <c r="P14" s="50" t="s">
        <v>76</v>
      </c>
    </row>
    <row r="15" spans="1:16" ht="12.75" customHeight="1" thickBot="1" x14ac:dyDescent="0.25">
      <c r="A15" s="11" t="str">
        <f t="shared" si="0"/>
        <v>IBVS 5583 </v>
      </c>
      <c r="B15" s="17" t="str">
        <f t="shared" si="1"/>
        <v>I</v>
      </c>
      <c r="C15" s="11">
        <f t="shared" si="2"/>
        <v>52097.3946</v>
      </c>
      <c r="D15" s="15" t="str">
        <f t="shared" si="3"/>
        <v>vis</v>
      </c>
      <c r="E15" s="46">
        <f>VLOOKUP(C15,Active!C$21:E$971,3,FALSE)</f>
        <v>10580.057010994975</v>
      </c>
      <c r="F15" s="17" t="s">
        <v>56</v>
      </c>
      <c r="G15" s="15" t="str">
        <f t="shared" si="4"/>
        <v>52097.3946</v>
      </c>
      <c r="H15" s="11">
        <f t="shared" si="5"/>
        <v>10580</v>
      </c>
      <c r="I15" s="47" t="s">
        <v>81</v>
      </c>
      <c r="J15" s="48" t="s">
        <v>82</v>
      </c>
      <c r="K15" s="47">
        <v>10580</v>
      </c>
      <c r="L15" s="47" t="s">
        <v>83</v>
      </c>
      <c r="M15" s="48" t="s">
        <v>61</v>
      </c>
      <c r="N15" s="48" t="s">
        <v>62</v>
      </c>
      <c r="O15" s="49" t="s">
        <v>68</v>
      </c>
      <c r="P15" s="50" t="s">
        <v>84</v>
      </c>
    </row>
    <row r="16" spans="1:16" ht="12.75" customHeight="1" thickBot="1" x14ac:dyDescent="0.25">
      <c r="A16" s="11" t="str">
        <f t="shared" si="0"/>
        <v>BAVM 238 </v>
      </c>
      <c r="B16" s="17" t="str">
        <f t="shared" si="1"/>
        <v>I</v>
      </c>
      <c r="C16" s="11">
        <f t="shared" si="2"/>
        <v>56877.412199999999</v>
      </c>
      <c r="D16" s="15" t="str">
        <f t="shared" si="3"/>
        <v>vis</v>
      </c>
      <c r="E16" s="46">
        <f>VLOOKUP(C16,Active!C$21:E$971,3,FALSE)</f>
        <v>15987.072078186504</v>
      </c>
      <c r="F16" s="17" t="s">
        <v>56</v>
      </c>
      <c r="G16" s="15" t="str">
        <f t="shared" si="4"/>
        <v>56877.4122</v>
      </c>
      <c r="H16" s="11">
        <f t="shared" si="5"/>
        <v>15987</v>
      </c>
      <c r="I16" s="47" t="s">
        <v>105</v>
      </c>
      <c r="J16" s="48" t="s">
        <v>106</v>
      </c>
      <c r="K16" s="47" t="s">
        <v>107</v>
      </c>
      <c r="L16" s="47" t="s">
        <v>108</v>
      </c>
      <c r="M16" s="48" t="s">
        <v>73</v>
      </c>
      <c r="N16" s="48" t="s">
        <v>74</v>
      </c>
      <c r="O16" s="49" t="s">
        <v>109</v>
      </c>
      <c r="P16" s="50" t="s">
        <v>110</v>
      </c>
    </row>
    <row r="17" spans="1:16" ht="12.75" customHeight="1" thickBot="1" x14ac:dyDescent="0.25">
      <c r="A17" s="11" t="str">
        <f t="shared" si="0"/>
        <v> BBS 128 </v>
      </c>
      <c r="B17" s="17" t="str">
        <f t="shared" si="1"/>
        <v>I</v>
      </c>
      <c r="C17" s="11">
        <f t="shared" si="2"/>
        <v>52455.431100000002</v>
      </c>
      <c r="D17" s="15" t="str">
        <f t="shared" si="3"/>
        <v>vis</v>
      </c>
      <c r="E17" s="46">
        <f>VLOOKUP(C17,Active!C$21:E$971,3,FALSE)</f>
        <v>10985.057350346138</v>
      </c>
      <c r="F17" s="17" t="s">
        <v>56</v>
      </c>
      <c r="G17" s="15" t="str">
        <f t="shared" si="4"/>
        <v>52455.4311</v>
      </c>
      <c r="H17" s="11">
        <f t="shared" si="5"/>
        <v>10985</v>
      </c>
      <c r="I17" s="47" t="s">
        <v>85</v>
      </c>
      <c r="J17" s="48" t="s">
        <v>86</v>
      </c>
      <c r="K17" s="47">
        <v>10985</v>
      </c>
      <c r="L17" s="47" t="s">
        <v>87</v>
      </c>
      <c r="M17" s="48" t="s">
        <v>61</v>
      </c>
      <c r="N17" s="48" t="s">
        <v>62</v>
      </c>
      <c r="O17" s="49" t="s">
        <v>88</v>
      </c>
      <c r="P17" s="49" t="s">
        <v>89</v>
      </c>
    </row>
    <row r="18" spans="1:16" ht="12.75" customHeight="1" thickBot="1" x14ac:dyDescent="0.25">
      <c r="A18" s="11" t="str">
        <f t="shared" si="0"/>
        <v>OEJV 0107 </v>
      </c>
      <c r="B18" s="17" t="str">
        <f t="shared" si="1"/>
        <v>I</v>
      </c>
      <c r="C18" s="11">
        <f t="shared" si="2"/>
        <v>53638.275900000001</v>
      </c>
      <c r="D18" s="15" t="str">
        <f t="shared" si="3"/>
        <v>vis</v>
      </c>
      <c r="E18" s="46" t="e">
        <f>VLOOKUP(C18,Active!C$21:E$971,3,FALSE)</f>
        <v>#N/A</v>
      </c>
      <c r="F18" s="17" t="s">
        <v>56</v>
      </c>
      <c r="G18" s="15" t="str">
        <f t="shared" si="4"/>
        <v>53638.2759</v>
      </c>
      <c r="H18" s="11">
        <f t="shared" si="5"/>
        <v>12323</v>
      </c>
      <c r="I18" s="47" t="s">
        <v>90</v>
      </c>
      <c r="J18" s="48" t="s">
        <v>91</v>
      </c>
      <c r="K18" s="47">
        <v>12323</v>
      </c>
      <c r="L18" s="47" t="s">
        <v>92</v>
      </c>
      <c r="M18" s="48" t="s">
        <v>73</v>
      </c>
      <c r="N18" s="48" t="s">
        <v>93</v>
      </c>
      <c r="O18" s="49" t="s">
        <v>94</v>
      </c>
      <c r="P18" s="50" t="s">
        <v>95</v>
      </c>
    </row>
    <row r="19" spans="1:16" ht="12.75" customHeight="1" thickBot="1" x14ac:dyDescent="0.25">
      <c r="A19" s="11" t="str">
        <f t="shared" si="0"/>
        <v>OEJV 0107 </v>
      </c>
      <c r="B19" s="17" t="str">
        <f t="shared" si="1"/>
        <v>I</v>
      </c>
      <c r="C19" s="11">
        <f t="shared" si="2"/>
        <v>54307.500500000002</v>
      </c>
      <c r="D19" s="15" t="str">
        <f t="shared" si="3"/>
        <v>vis</v>
      </c>
      <c r="E19" s="46" t="e">
        <f>VLOOKUP(C19,Active!C$21:E$971,3,FALSE)</f>
        <v>#N/A</v>
      </c>
      <c r="F19" s="17" t="s">
        <v>56</v>
      </c>
      <c r="G19" s="15" t="str">
        <f t="shared" si="4"/>
        <v>54307.5005</v>
      </c>
      <c r="H19" s="11">
        <f t="shared" si="5"/>
        <v>13080</v>
      </c>
      <c r="I19" s="47" t="s">
        <v>96</v>
      </c>
      <c r="J19" s="48" t="s">
        <v>97</v>
      </c>
      <c r="K19" s="47">
        <v>13080</v>
      </c>
      <c r="L19" s="47" t="s">
        <v>98</v>
      </c>
      <c r="M19" s="48" t="s">
        <v>73</v>
      </c>
      <c r="N19" s="48" t="s">
        <v>93</v>
      </c>
      <c r="O19" s="49" t="s">
        <v>94</v>
      </c>
      <c r="P19" s="50" t="s">
        <v>95</v>
      </c>
    </row>
    <row r="20" spans="1:16" ht="12.75" customHeight="1" thickBot="1" x14ac:dyDescent="0.25">
      <c r="A20" s="11" t="str">
        <f t="shared" si="0"/>
        <v>BAVM 193 </v>
      </c>
      <c r="B20" s="17" t="str">
        <f t="shared" si="1"/>
        <v>I</v>
      </c>
      <c r="C20" s="11">
        <f t="shared" si="2"/>
        <v>54360.5432</v>
      </c>
      <c r="D20" s="15" t="str">
        <f t="shared" si="3"/>
        <v>vis</v>
      </c>
      <c r="E20" s="46">
        <f>VLOOKUP(C20,Active!C$21:E$971,3,FALSE)</f>
        <v>13140.064024252295</v>
      </c>
      <c r="F20" s="17" t="s">
        <v>56</v>
      </c>
      <c r="G20" s="15" t="str">
        <f t="shared" si="4"/>
        <v>54360.5432</v>
      </c>
      <c r="H20" s="11">
        <f t="shared" si="5"/>
        <v>13140</v>
      </c>
      <c r="I20" s="47" t="s">
        <v>99</v>
      </c>
      <c r="J20" s="48" t="s">
        <v>100</v>
      </c>
      <c r="K20" s="47">
        <v>13140</v>
      </c>
      <c r="L20" s="47" t="s">
        <v>101</v>
      </c>
      <c r="M20" s="48" t="s">
        <v>73</v>
      </c>
      <c r="N20" s="48" t="s">
        <v>102</v>
      </c>
      <c r="O20" s="49" t="s">
        <v>103</v>
      </c>
      <c r="P20" s="50" t="s">
        <v>104</v>
      </c>
    </row>
    <row r="21" spans="1:16" x14ac:dyDescent="0.2">
      <c r="B21" s="17"/>
      <c r="E21" s="46"/>
      <c r="F21" s="17"/>
    </row>
    <row r="22" spans="1:16" x14ac:dyDescent="0.2">
      <c r="B22" s="17"/>
      <c r="E22" s="46"/>
      <c r="F22" s="17"/>
    </row>
    <row r="23" spans="1:16" x14ac:dyDescent="0.2">
      <c r="B23" s="17"/>
      <c r="E23" s="46"/>
      <c r="F23" s="17"/>
    </row>
    <row r="24" spans="1:16" x14ac:dyDescent="0.2">
      <c r="B24" s="17"/>
      <c r="E24" s="46"/>
      <c r="F24" s="17"/>
    </row>
    <row r="25" spans="1:16" x14ac:dyDescent="0.2">
      <c r="B25" s="17"/>
      <c r="E25" s="46"/>
      <c r="F25" s="17"/>
    </row>
    <row r="26" spans="1:16" x14ac:dyDescent="0.2">
      <c r="B26" s="17"/>
      <c r="E26" s="46"/>
      <c r="F26" s="17"/>
    </row>
    <row r="27" spans="1:16" x14ac:dyDescent="0.2">
      <c r="B27" s="17"/>
      <c r="E27" s="46"/>
      <c r="F27" s="17"/>
    </row>
    <row r="28" spans="1:16" x14ac:dyDescent="0.2">
      <c r="B28" s="17"/>
      <c r="E28" s="46"/>
      <c r="F28" s="17"/>
    </row>
    <row r="29" spans="1:16" x14ac:dyDescent="0.2">
      <c r="B29" s="17"/>
      <c r="E29" s="46"/>
      <c r="F29" s="17"/>
    </row>
    <row r="30" spans="1:16" x14ac:dyDescent="0.2">
      <c r="B30" s="17"/>
      <c r="E30" s="46"/>
      <c r="F30" s="17"/>
    </row>
    <row r="31" spans="1:16" x14ac:dyDescent="0.2">
      <c r="B31" s="17"/>
      <c r="E31" s="46"/>
      <c r="F31" s="17"/>
    </row>
    <row r="32" spans="1:16" x14ac:dyDescent="0.2">
      <c r="B32" s="17"/>
      <c r="E32" s="46"/>
      <c r="F32" s="17"/>
    </row>
    <row r="33" spans="2:6" x14ac:dyDescent="0.2">
      <c r="B33" s="17"/>
      <c r="E33" s="46"/>
      <c r="F33" s="17"/>
    </row>
    <row r="34" spans="2:6" x14ac:dyDescent="0.2">
      <c r="B34" s="17"/>
      <c r="E34" s="46"/>
      <c r="F34" s="17"/>
    </row>
    <row r="35" spans="2:6" x14ac:dyDescent="0.2">
      <c r="B35" s="17"/>
      <c r="E35" s="46"/>
      <c r="F35" s="17"/>
    </row>
    <row r="36" spans="2:6" x14ac:dyDescent="0.2">
      <c r="B36" s="17"/>
      <c r="E36" s="46"/>
      <c r="F36" s="17"/>
    </row>
    <row r="37" spans="2:6" x14ac:dyDescent="0.2">
      <c r="B37" s="17"/>
      <c r="F37" s="17"/>
    </row>
    <row r="38" spans="2:6" x14ac:dyDescent="0.2">
      <c r="B38" s="17"/>
      <c r="F38" s="17"/>
    </row>
    <row r="39" spans="2:6" x14ac:dyDescent="0.2">
      <c r="B39" s="17"/>
      <c r="F39" s="17"/>
    </row>
    <row r="40" spans="2:6" x14ac:dyDescent="0.2">
      <c r="B40" s="17"/>
      <c r="F40" s="17"/>
    </row>
    <row r="41" spans="2:6" x14ac:dyDescent="0.2">
      <c r="B41" s="17"/>
      <c r="F41" s="17"/>
    </row>
    <row r="42" spans="2:6" x14ac:dyDescent="0.2">
      <c r="B42" s="17"/>
      <c r="F42" s="17"/>
    </row>
    <row r="43" spans="2:6" x14ac:dyDescent="0.2">
      <c r="B43" s="17"/>
      <c r="F43" s="17"/>
    </row>
    <row r="44" spans="2:6" x14ac:dyDescent="0.2">
      <c r="B44" s="17"/>
      <c r="F44" s="17"/>
    </row>
    <row r="45" spans="2:6" x14ac:dyDescent="0.2">
      <c r="B45" s="17"/>
      <c r="F45" s="17"/>
    </row>
    <row r="46" spans="2:6" x14ac:dyDescent="0.2">
      <c r="B46" s="17"/>
      <c r="F46" s="17"/>
    </row>
    <row r="47" spans="2:6" x14ac:dyDescent="0.2">
      <c r="B47" s="17"/>
      <c r="F47" s="17"/>
    </row>
    <row r="48" spans="2:6" x14ac:dyDescent="0.2">
      <c r="B48" s="17"/>
      <c r="F48" s="17"/>
    </row>
    <row r="49" spans="2:6" x14ac:dyDescent="0.2">
      <c r="B49" s="17"/>
      <c r="F49" s="17"/>
    </row>
    <row r="50" spans="2:6" x14ac:dyDescent="0.2">
      <c r="B50" s="17"/>
      <c r="F50" s="17"/>
    </row>
    <row r="51" spans="2:6" x14ac:dyDescent="0.2">
      <c r="B51" s="17"/>
      <c r="F51" s="17"/>
    </row>
    <row r="52" spans="2:6" x14ac:dyDescent="0.2">
      <c r="B52" s="17"/>
      <c r="F52" s="17"/>
    </row>
    <row r="53" spans="2:6" x14ac:dyDescent="0.2">
      <c r="B53" s="17"/>
      <c r="F53" s="17"/>
    </row>
    <row r="54" spans="2:6" x14ac:dyDescent="0.2">
      <c r="B54" s="17"/>
      <c r="F54" s="17"/>
    </row>
    <row r="55" spans="2:6" x14ac:dyDescent="0.2">
      <c r="B55" s="17"/>
      <c r="F55" s="17"/>
    </row>
    <row r="56" spans="2:6" x14ac:dyDescent="0.2">
      <c r="B56" s="17"/>
      <c r="F56" s="17"/>
    </row>
    <row r="57" spans="2:6" x14ac:dyDescent="0.2">
      <c r="B57" s="17"/>
      <c r="F57" s="17"/>
    </row>
    <row r="58" spans="2:6" x14ac:dyDescent="0.2">
      <c r="B58" s="17"/>
      <c r="F58" s="17"/>
    </row>
    <row r="59" spans="2:6" x14ac:dyDescent="0.2">
      <c r="B59" s="17"/>
      <c r="F59" s="17"/>
    </row>
    <row r="60" spans="2:6" x14ac:dyDescent="0.2">
      <c r="B60" s="17"/>
      <c r="F60" s="17"/>
    </row>
    <row r="61" spans="2:6" x14ac:dyDescent="0.2">
      <c r="B61" s="17"/>
      <c r="F61" s="17"/>
    </row>
    <row r="62" spans="2:6" x14ac:dyDescent="0.2">
      <c r="B62" s="17"/>
      <c r="F62" s="17"/>
    </row>
    <row r="63" spans="2:6" x14ac:dyDescent="0.2">
      <c r="B63" s="17"/>
      <c r="F63" s="17"/>
    </row>
    <row r="64" spans="2:6" x14ac:dyDescent="0.2">
      <c r="B64" s="17"/>
      <c r="F64" s="17"/>
    </row>
    <row r="65" spans="2:6" x14ac:dyDescent="0.2">
      <c r="B65" s="17"/>
      <c r="F65" s="17"/>
    </row>
    <row r="66" spans="2:6" x14ac:dyDescent="0.2">
      <c r="B66" s="17"/>
      <c r="F66" s="17"/>
    </row>
    <row r="67" spans="2:6" x14ac:dyDescent="0.2">
      <c r="B67" s="17"/>
      <c r="F67" s="17"/>
    </row>
    <row r="68" spans="2:6" x14ac:dyDescent="0.2">
      <c r="B68" s="17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</sheetData>
  <phoneticPr fontId="7" type="noConversion"/>
  <hyperlinks>
    <hyperlink ref="P11" r:id="rId1" display="http://www.konkoly.hu/cgi-bin/IBVS?4887"/>
    <hyperlink ref="P12" r:id="rId2" display="http://www.konkoly.hu/cgi-bin/IBVS?4888"/>
    <hyperlink ref="P13" r:id="rId3" display="http://var.astro.cz/oejv/issues/oejv0074.pdf"/>
    <hyperlink ref="P14" r:id="rId4" display="http://var.astro.cz/oejv/issues/oejv0074.pdf"/>
    <hyperlink ref="P15" r:id="rId5" display="http://www.konkoly.hu/cgi-bin/IBVS?5583"/>
    <hyperlink ref="P18" r:id="rId6" display="http://var.astro.cz/oejv/issues/oejv0107.pdf"/>
    <hyperlink ref="P19" r:id="rId7" display="http://var.astro.cz/oejv/issues/oejv0107.pdf"/>
    <hyperlink ref="P20" r:id="rId8" display="http://www.bav-astro.de/sfs/BAVM_link.php?BAVMnr=193"/>
    <hyperlink ref="P16" r:id="rId9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2024-02-04T04:58:14Z</dcterms:modified>
</cp:coreProperties>
</file>