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108944-D7F3-431E-AEFE-E98B6D87165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2" i="1" l="1"/>
  <c r="Q33" i="1"/>
  <c r="Q31" i="1"/>
  <c r="F16" i="1"/>
  <c r="D9" i="1"/>
  <c r="C9" i="1"/>
  <c r="Q21" i="1"/>
  <c r="Q23" i="1"/>
  <c r="Q24" i="1"/>
  <c r="Q26" i="1"/>
  <c r="Q29" i="1"/>
  <c r="Q30" i="1"/>
  <c r="G18" i="2"/>
  <c r="C18" i="2"/>
  <c r="G17" i="2"/>
  <c r="C17" i="2"/>
  <c r="G12" i="2"/>
  <c r="C12" i="2"/>
  <c r="G16" i="2"/>
  <c r="C16" i="2"/>
  <c r="G15" i="2"/>
  <c r="C15" i="2"/>
  <c r="G14" i="2"/>
  <c r="C14" i="2"/>
  <c r="G11" i="2"/>
  <c r="C11" i="2"/>
  <c r="G13" i="2"/>
  <c r="C13" i="2"/>
  <c r="H18" i="2"/>
  <c r="B18" i="2"/>
  <c r="D18" i="2"/>
  <c r="A18" i="2"/>
  <c r="H17" i="2"/>
  <c r="D17" i="2"/>
  <c r="B17" i="2"/>
  <c r="A17" i="2"/>
  <c r="H12" i="2"/>
  <c r="B12" i="2"/>
  <c r="D12" i="2"/>
  <c r="A12" i="2"/>
  <c r="H16" i="2"/>
  <c r="D16" i="2"/>
  <c r="B16" i="2"/>
  <c r="A16" i="2"/>
  <c r="H15" i="2"/>
  <c r="B15" i="2"/>
  <c r="D15" i="2"/>
  <c r="A15" i="2"/>
  <c r="H14" i="2"/>
  <c r="D14" i="2"/>
  <c r="B14" i="2"/>
  <c r="A14" i="2"/>
  <c r="H11" i="2"/>
  <c r="B11" i="2"/>
  <c r="D11" i="2"/>
  <c r="A11" i="2"/>
  <c r="H13" i="2"/>
  <c r="D13" i="2"/>
  <c r="B13" i="2"/>
  <c r="A13" i="2"/>
  <c r="Q28" i="1"/>
  <c r="Q27" i="1"/>
  <c r="Q22" i="1"/>
  <c r="C7" i="1"/>
  <c r="C8" i="1"/>
  <c r="Q25" i="1"/>
  <c r="C17" i="1"/>
  <c r="E14" i="2"/>
  <c r="E16" i="2"/>
  <c r="G33" i="1"/>
  <c r="K33" i="1"/>
  <c r="E17" i="2"/>
  <c r="E18" i="2"/>
  <c r="E15" i="2"/>
  <c r="E21" i="1"/>
  <c r="F21" i="1"/>
  <c r="U21" i="1"/>
  <c r="E28" i="1"/>
  <c r="F28" i="1"/>
  <c r="E25" i="1"/>
  <c r="F25" i="1"/>
  <c r="G25" i="1"/>
  <c r="H25" i="1"/>
  <c r="G27" i="1"/>
  <c r="K27" i="1"/>
  <c r="G24" i="1"/>
  <c r="I24" i="1"/>
  <c r="E33" i="1"/>
  <c r="F33" i="1"/>
  <c r="E24" i="1"/>
  <c r="F24" i="1"/>
  <c r="E30" i="1"/>
  <c r="F30" i="1"/>
  <c r="G30" i="1"/>
  <c r="I30" i="1"/>
  <c r="E23" i="1"/>
  <c r="F23" i="1"/>
  <c r="G29" i="1"/>
  <c r="I29" i="1"/>
  <c r="E27" i="1"/>
  <c r="F27" i="1"/>
  <c r="G23" i="1"/>
  <c r="I23" i="1"/>
  <c r="G32" i="1"/>
  <c r="K32" i="1"/>
  <c r="E22" i="1"/>
  <c r="F22" i="1"/>
  <c r="E29" i="1"/>
  <c r="F29" i="1"/>
  <c r="G22" i="1"/>
  <c r="E32" i="1"/>
  <c r="F32" i="1"/>
  <c r="G28" i="1"/>
  <c r="K28" i="1"/>
  <c r="E26" i="1"/>
  <c r="F26" i="1"/>
  <c r="G26" i="1"/>
  <c r="K26" i="1"/>
  <c r="E31" i="1"/>
  <c r="F31" i="1"/>
  <c r="G31" i="1"/>
  <c r="K31" i="1"/>
  <c r="E11" i="2"/>
  <c r="E12" i="2"/>
  <c r="I22" i="1"/>
  <c r="E13" i="2"/>
  <c r="C12" i="1"/>
  <c r="C11" i="1"/>
  <c r="O31" i="1" l="1"/>
  <c r="O29" i="1"/>
  <c r="O30" i="1"/>
  <c r="O27" i="1"/>
  <c r="O21" i="1"/>
  <c r="O25" i="1"/>
  <c r="O32" i="1"/>
  <c r="C15" i="1"/>
  <c r="O23" i="1"/>
  <c r="O24" i="1"/>
  <c r="O26" i="1"/>
  <c r="O33" i="1"/>
  <c r="O22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<sst xmlns="http://schemas.openxmlformats.org/spreadsheetml/2006/main" count="151" uniqueCount="101">
  <si>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</si>
  <si>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</si>
  <si>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</si>
  <si>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</si>
  <si>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</si>
  <si>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</si>
  <si>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</si>
  <si>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</si>
  <si>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</si>
  <si>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</si>
  <si>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</si>
  <si>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</si>
  <si>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</si>
  <si>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</si>
  <si>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</si>
  <si>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</si>
  <si>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</si>
  <si>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</si>
  <si>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</si>
  <si>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</si>
  <si>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</si>
  <si>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</si>
  <si>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</si>
  <si>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</si>
  <si>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</si>
  <si>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</si>
  <si>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</si>
  <si>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</si>
  <si>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</si>
  <si>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</si>
  <si>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</si>
  <si>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</si>
  <si>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</si>
  <si>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</si>
  <si>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</si>
  <si>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</si>
  <si>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V1763 Cyg / GSC 3135-0571               </t>
  </si>
  <si>
    <t xml:space="preserve">EW/KW     </t>
  </si>
  <si>
    <t>IBVS 5027</t>
  </si>
  <si>
    <t>II</t>
  </si>
  <si>
    <t>IBVS 5929</t>
  </si>
  <si>
    <t>IBVS 6033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</si>
  <si>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</si>
  <si>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</si>
  <si>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</si>
  <si>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</si>
  <si>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</si>
  <si>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</si>
  <si>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</si>
  <si>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</si>
  <si>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</si>
  <si>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</si>
  <si>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</si>
  <si>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</si>
  <si>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2439415.247 </t>
  </si>
  <si>
    <t> 16.10.1966 17:55 </t>
  </si>
  <si>
    <t> -0.394 </t>
  </si>
  <si>
    <t> S.YU.Shugarov </t>
  </si>
  <si>
    <t>IBVS 2492 </t>
  </si>
  <si>
    <t>2451283.7514 </t>
  </si>
  <si>
    <t> 15.04.1999 06:02 </t>
  </si>
  <si>
    <t> -0.0263 </t>
  </si>
  <si>
    <t>E </t>
  </si>
  <si>
    <t>?</t>
  </si>
  <si>
    <t> R.Diethelm </t>
  </si>
  <si>
    <t>IBVS 5027 </t>
  </si>
  <si>
    <t>2451312.7292 </t>
  </si>
  <si>
    <t> 14.05.1999 05:30 </t>
  </si>
  <si>
    <t> -0.0110 </t>
  </si>
  <si>
    <t>2452460.512 </t>
  </si>
  <si>
    <t> 05.07.2002 00:17 </t>
  </si>
  <si>
    <t> 0.007 </t>
  </si>
  <si>
    <t> BBS 128 </t>
  </si>
  <si>
    <t>2454950.8897 </t>
  </si>
  <si>
    <t> 29.04.2009 09:21 </t>
  </si>
  <si>
    <t> 0.0160 </t>
  </si>
  <si>
    <t>C </t>
  </si>
  <si>
    <t>R</t>
  </si>
  <si>
    <t> R.Nelson </t>
  </si>
  <si>
    <t>IBVS 5929 </t>
  </si>
  <si>
    <t>2455802.3573 </t>
  </si>
  <si>
    <t> 28.08.2011 20:34 </t>
  </si>
  <si>
    <t> 0.0271 </t>
  </si>
  <si>
    <t> M.Banfi </t>
  </si>
  <si>
    <t>IBVS 6033 </t>
  </si>
  <si>
    <t>2455820.3807 </t>
  </si>
  <si>
    <t> 15.09.2011 21:08 </t>
  </si>
  <si>
    <t> 0.0249 </t>
  </si>
  <si>
    <t>-I</t>
  </si>
  <si>
    <t> M.&amp; K.Rätz </t>
  </si>
  <si>
    <t>BAVM 225 </t>
  </si>
  <si>
    <t>2455851.3688 </t>
  </si>
  <si>
    <t> 16.10.2011 20:51 </t>
  </si>
  <si>
    <t>8273</t>
  </si>
  <si>
    <t> 0.0252 </t>
  </si>
  <si>
    <t>IBVS 2492</t>
  </si>
  <si>
    <t>BAD?</t>
  </si>
  <si>
    <t>Add cycle</t>
  </si>
  <si>
    <t>Old Cycle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</si>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</sst>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V1763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F7-461D-924C-959B7C3A6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-1.6552159999264404E-2</c:v>
                </c:pt>
                <c:pt idx="2">
                  <c:v>-1.2056799969286658E-3</c:v>
                </c:pt>
                <c:pt idx="3">
                  <c:v>1.7789440003980417E-2</c:v>
                </c:pt>
                <c:pt idx="8">
                  <c:v>3.9346479999949224E-2</c:v>
                </c:pt>
                <c:pt idx="9">
                  <c:v>3.9646559998800512E-2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F7-461D-924C-959B7C3A61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F7-461D-924C-959B7C3A61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">
                  <c:v>2.9556000001321081E-2</c:v>
                </c:pt>
                <c:pt idx="6">
                  <c:v>2.9602772905491292E-2</c:v>
                </c:pt>
                <c:pt idx="7">
                  <c:v>4.1529440000886098E-2</c:v>
                </c:pt>
                <c:pt idx="10">
                  <c:v>6.2801519998174626E-2</c:v>
                </c:pt>
                <c:pt idx="11">
                  <c:v>6.6675199836026877E-2</c:v>
                </c:pt>
                <c:pt idx="12">
                  <c:v>7.0043519932369236E-2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F7-461D-924C-959B7C3A61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F7-461D-924C-959B7C3A6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F7-461D-924C-959B7C3A6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1E-3</c:v>
                  </c:pt>
                  <c:pt idx="2">
                    <c:v>0</c:v>
                  </c:pt>
                  <c:pt idx="3">
                    <c:v>0</c:v>
                  </c:pt>
                  <c:pt idx="5">
                    <c:v>0</c:v>
                  </c:pt>
                  <c:pt idx="6">
                    <c:v>2.9999999999999997E-4</c:v>
                  </c:pt>
                  <c:pt idx="7">
                    <c:v>8.0000000000000004E-4</c:v>
                  </c:pt>
                  <c:pt idx="8">
                    <c:v>0</c:v>
                  </c:pt>
                  <c:pt idx="9">
                    <c:v>0</c:v>
                  </c:pt>
                  <c:pt idx="10">
                    <c:v>4.0000000000000002E-4</c:v>
                  </c:pt>
                  <c:pt idx="11">
                    <c:v>2.9999999999999997E-4</c:v>
                  </c:pt>
                  <c:pt idx="1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F7-461D-924C-959B7C3A6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-0.139555274766194</c:v>
                </c:pt>
                <c:pt idx="1">
                  <c:v>-8.1394908445610124E-3</c:v>
                </c:pt>
                <c:pt idx="2">
                  <c:v>-7.8188004503495188E-3</c:v>
                </c:pt>
                <c:pt idx="3">
                  <c:v>4.8899580391367301E-3</c:v>
                </c:pt>
                <c:pt idx="4">
                  <c:v>5.3295057123217138E-3</c:v>
                </c:pt>
                <c:pt idx="5">
                  <c:v>3.2464846760986543E-2</c:v>
                </c:pt>
                <c:pt idx="6">
                  <c:v>3.2464846760986543E-2</c:v>
                </c:pt>
                <c:pt idx="7">
                  <c:v>4.1892695832770596E-2</c:v>
                </c:pt>
                <c:pt idx="8">
                  <c:v>4.2092286357839286E-2</c:v>
                </c:pt>
                <c:pt idx="9">
                  <c:v>4.2435402653743889E-2</c:v>
                </c:pt>
                <c:pt idx="10">
                  <c:v>6.1746346601682149E-2</c:v>
                </c:pt>
                <c:pt idx="11">
                  <c:v>6.575609782441047E-2</c:v>
                </c:pt>
                <c:pt idx="12">
                  <c:v>6.6119397431838867E-2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F7-461D-924C-959B7C3A61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-32303</c:v>
                </c:pt>
                <c:pt idx="1">
                  <c:v>-3003</c:v>
                </c:pt>
                <c:pt idx="2">
                  <c:v>-2931.5</c:v>
                </c:pt>
                <c:pt idx="3">
                  <c:v>-98</c:v>
                </c:pt>
                <c:pt idx="4">
                  <c:v>0</c:v>
                </c:pt>
                <c:pt idx="5">
                  <c:v>6050</c:v>
                </c:pt>
                <c:pt idx="6">
                  <c:v>6050</c:v>
                </c:pt>
                <c:pt idx="7">
                  <c:v>8152</c:v>
                </c:pt>
                <c:pt idx="8">
                  <c:v>8196.5</c:v>
                </c:pt>
                <c:pt idx="9">
                  <c:v>8273</c:v>
                </c:pt>
                <c:pt idx="10">
                  <c:v>12578.5</c:v>
                </c:pt>
                <c:pt idx="11">
                  <c:v>13472.5</c:v>
                </c:pt>
                <c:pt idx="12">
                  <c:v>13553.5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8.9518400054657832E-3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F7-461D-924C-959B7C3A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038208"/>
        <c:axId val="1"/>
      </c:scatterChart>
      <c:valAx>
        <c:axId val="661038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038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F9EA3F-C081-DB5B-AA2E-3346D887E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027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5027" TargetMode="External"/><Relationship Id="rId1" Type="http://schemas.openxmlformats.org/officeDocument/2006/relationships/hyperlink" Target="http://www.konkoly.hu/cgi-bin/IBVS?2492" TargetMode="External"/><Relationship Id="rId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6033" TargetMode="External"/><Relationship Id="rId4" Type="http://schemas.openxmlformats.org/officeDocument/2006/relationships/hyperlink" Target="http://www.konkoly.hu/cgi-bin/IBVS?59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52500.190999999999</v>
      </c>
      <c r="G1" s="3">
        <v>0.40506927999999998</v>
      </c>
      <c r="H1" s="3" t="s">
        <v>37</v>
      </c>
    </row>
    <row r="2" spans="1:8" x14ac:dyDescent="0.2">
      <c r="A2" t="s">
        <v>22</v>
      </c>
      <c r="B2" s="3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52500.190999999999</v>
      </c>
      <c r="D4" s="9">
        <v>0.40506927999999998</v>
      </c>
    </row>
    <row r="5" spans="1:8" ht="13.5" thickTop="1" x14ac:dyDescent="0.2">
      <c r="A5" s="11" t="s">
        <v>27</v>
      </c>
      <c r="B5" s="46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52500.190999999999</v>
      </c>
    </row>
    <row r="8" spans="1:8" x14ac:dyDescent="0.2">
      <c r="A8" t="s">
        <v>2</v>
      </c>
      <c r="C8">
        <f>D4</f>
        <v>0.40506927999999998</v>
      </c>
      <c r="D8" s="29"/>
    </row>
    <row r="9" spans="1:8" x14ac:dyDescent="0.2">
      <c r="A9" s="26" t="s">
        <v>32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8" ht="13.5" thickBot="1" x14ac:dyDescent="0.25">
      <c r="A10" s="12"/>
      <c r="B10" s="46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46"/>
      <c r="C11" s="23">
        <f ca="1">INTERCEPT(INDIRECT($D$9):G975,INDIRECT($C$9):F975)</f>
        <v>5.3295057123217138E-3</v>
      </c>
      <c r="D11" s="3"/>
      <c r="E11" s="12"/>
    </row>
    <row r="12" spans="1:8" x14ac:dyDescent="0.2">
      <c r="A12" s="12" t="s">
        <v>15</v>
      </c>
      <c r="B12" s="46"/>
      <c r="C12" s="23">
        <f ca="1">SLOPE(INDIRECT($D$9):G975,INDIRECT($C$9):F975)</f>
        <v>4.4851803386222866E-6</v>
      </c>
      <c r="D12" s="3"/>
      <c r="E12" s="12"/>
    </row>
    <row r="13" spans="1:8" x14ac:dyDescent="0.2">
      <c r="A13" s="12" t="s">
        <v>17</v>
      </c>
      <c r="B13" s="46"/>
      <c r="C13" s="3" t="s">
        <v>12</v>
      </c>
    </row>
    <row r="14" spans="1:8" x14ac:dyDescent="0.2">
      <c r="A14" s="12"/>
      <c r="B14" s="46"/>
      <c r="C14" s="12"/>
    </row>
    <row r="15" spans="1:8" x14ac:dyDescent="0.2">
      <c r="A15" s="14" t="s">
        <v>16</v>
      </c>
      <c r="B15" s="46"/>
      <c r="C15" s="15">
        <f ca="1">(C7+C11)+(C8+C12)*INT(MAX(F21:F3516))</f>
        <v>57990.161068994843</v>
      </c>
      <c r="E15" s="16" t="s">
        <v>97</v>
      </c>
      <c r="F15" s="52">
        <v>1</v>
      </c>
    </row>
    <row r="16" spans="1:8" x14ac:dyDescent="0.2">
      <c r="A16" s="18" t="s">
        <v>3</v>
      </c>
      <c r="B16" s="46"/>
      <c r="C16" s="19">
        <f ca="1">+C8+C12</f>
        <v>0.40507376518033861</v>
      </c>
      <c r="E16" s="16" t="s">
        <v>29</v>
      </c>
      <c r="F16" s="53">
        <f ca="1">NOW()+15018.5+$C$5/24</f>
        <v>60344.75016643518</v>
      </c>
    </row>
    <row r="17" spans="1:21" ht="13.5" thickBot="1" x14ac:dyDescent="0.25">
      <c r="A17" s="16" t="s">
        <v>26</v>
      </c>
      <c r="B17" s="46"/>
      <c r="C17" s="12">
        <f>COUNT(C21:C2174)</f>
        <v>13</v>
      </c>
      <c r="E17" s="16" t="s">
        <v>98</v>
      </c>
      <c r="F17" s="17">
        <f ca="1">ROUND(2*(F16-$C$7)/$C$8,0)/2+F15</f>
        <v>19367</v>
      </c>
    </row>
    <row r="18" spans="1:21" ht="14.25" thickTop="1" thickBot="1" x14ac:dyDescent="0.25">
      <c r="A18" s="18" t="s">
        <v>4</v>
      </c>
      <c r="B18" s="46"/>
      <c r="C18" s="21">
        <f ca="1">+C15</f>
        <v>57990.161068994843</v>
      </c>
      <c r="D18" s="22">
        <f ca="1">+C16</f>
        <v>0.40507376518033861</v>
      </c>
      <c r="E18" s="16" t="s">
        <v>30</v>
      </c>
      <c r="F18" s="25">
        <f ca="1">ROUND(2*(F16-$C$15)/$C$16,0)/2+F15</f>
        <v>5813.5</v>
      </c>
    </row>
    <row r="19" spans="1:21" ht="13.5" thickTop="1" x14ac:dyDescent="0.2">
      <c r="E19" s="16" t="s">
        <v>31</v>
      </c>
      <c r="F19" s="20">
        <f ca="1">+$C$15+$C$16*F18-15018.5-$C$5/24</f>
        <v>45326.953236204077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49</v>
      </c>
      <c r="I20" s="7" t="s">
        <v>52</v>
      </c>
      <c r="J20" s="7" t="s">
        <v>46</v>
      </c>
      <c r="K20" s="7" t="s">
        <v>44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U20" s="48" t="s">
        <v>96</v>
      </c>
    </row>
    <row r="21" spans="1:21" x14ac:dyDescent="0.2">
      <c r="A21" s="45" t="s">
        <v>95</v>
      </c>
      <c r="B21" s="47" t="s">
        <v>33</v>
      </c>
      <c r="C21" s="45">
        <v>39415.247000000003</v>
      </c>
      <c r="D21" s="45" t="s">
        <v>52</v>
      </c>
      <c r="E21">
        <f>+(C21-C$7)/C$8</f>
        <v>-32302.977900471735</v>
      </c>
      <c r="F21">
        <f t="shared" ref="F21:F33" si="0">ROUND(2*E21,0)/2</f>
        <v>-32303</v>
      </c>
      <c r="O21">
        <f ca="1">+C$11+C$12*$F21</f>
        <v>-0.139555274766194</v>
      </c>
      <c r="Q21" s="2">
        <f>+C21-15018.5</f>
        <v>24396.747000000003</v>
      </c>
      <c r="U21">
        <f>+C21-(C$7+F21*C$8)</f>
        <v>8.9518400054657832E-3</v>
      </c>
    </row>
    <row r="22" spans="1:21" x14ac:dyDescent="0.2">
      <c r="A22" s="31" t="s">
        <v>38</v>
      </c>
      <c r="B22" s="30" t="s">
        <v>39</v>
      </c>
      <c r="C22" s="31">
        <v>51283.751400000001</v>
      </c>
      <c r="D22" s="31">
        <v>1E-3</v>
      </c>
      <c r="E22">
        <f>+(C22-C$7)/C$8</f>
        <v>-3003.0408625408422</v>
      </c>
      <c r="F22">
        <f t="shared" si="0"/>
        <v>-3003</v>
      </c>
      <c r="G22">
        <f>+C22-(C$7+F22*C$8)</f>
        <v>-1.6552159999264404E-2</v>
      </c>
      <c r="I22">
        <f>+G22</f>
        <v>-1.6552159999264404E-2</v>
      </c>
      <c r="O22">
        <f ca="1">+C$11+C$12*$F22</f>
        <v>-8.1394908445610124E-3</v>
      </c>
      <c r="Q22" s="2">
        <f>+C22-15018.5</f>
        <v>36265.251400000001</v>
      </c>
    </row>
    <row r="23" spans="1:21" x14ac:dyDescent="0.2">
      <c r="A23" s="45" t="s">
        <v>38</v>
      </c>
      <c r="B23" s="47" t="s">
        <v>39</v>
      </c>
      <c r="C23" s="45">
        <v>51312.729200000002</v>
      </c>
      <c r="D23" s="45" t="s">
        <v>52</v>
      </c>
      <c r="E23">
        <f>+(C23-C$7)/C$8</f>
        <v>-2931.5029764784863</v>
      </c>
      <c r="F23">
        <f t="shared" si="0"/>
        <v>-2931.5</v>
      </c>
      <c r="G23">
        <f>+C23-(C$7+F23*C$8)</f>
        <v>-1.2056799969286658E-3</v>
      </c>
      <c r="I23">
        <f>+G23</f>
        <v>-1.2056799969286658E-3</v>
      </c>
      <c r="O23">
        <f ca="1">+C$11+C$12*$F23</f>
        <v>-7.8188004503495188E-3</v>
      </c>
      <c r="Q23" s="2">
        <f>+C23-15018.5</f>
        <v>36294.229200000002</v>
      </c>
    </row>
    <row r="24" spans="1:21" x14ac:dyDescent="0.2">
      <c r="A24" s="45" t="s">
        <v>72</v>
      </c>
      <c r="B24" s="47" t="s">
        <v>33</v>
      </c>
      <c r="C24" s="45">
        <v>52460.512000000002</v>
      </c>
      <c r="D24" s="45" t="s">
        <v>52</v>
      </c>
      <c r="E24">
        <f>+(C24-C$7)/C$8</f>
        <v>-97.956082969304532</v>
      </c>
      <c r="F24">
        <f t="shared" si="0"/>
        <v>-98</v>
      </c>
      <c r="G24">
        <f>+C24-(C$7+F24*C$8)</f>
        <v>1.7789440003980417E-2</v>
      </c>
      <c r="I24">
        <f>+G24</f>
        <v>1.7789440003980417E-2</v>
      </c>
      <c r="O24">
        <f ca="1">+C$11+C$12*$F24</f>
        <v>4.8899580391367301E-3</v>
      </c>
      <c r="Q24" s="2">
        <f>+C24-15018.5</f>
        <v>37442.012000000002</v>
      </c>
    </row>
    <row r="25" spans="1:21" x14ac:dyDescent="0.2">
      <c r="A25" s="31" t="s">
        <v>34</v>
      </c>
      <c r="B25" s="30" t="s">
        <v>33</v>
      </c>
      <c r="C25" s="31">
        <v>52500.190999999999</v>
      </c>
      <c r="D25" s="28"/>
      <c r="E25">
        <f>+(C25-C$7)/C$8</f>
        <v>0</v>
      </c>
      <c r="F25">
        <f t="shared" si="0"/>
        <v>0</v>
      </c>
      <c r="G25">
        <f>+C25-(C$7+F25*C$8)</f>
        <v>0</v>
      </c>
      <c r="H25">
        <f>+G25</f>
        <v>0</v>
      </c>
      <c r="O25">
        <f ca="1">+C$11+C$12*$F25</f>
        <v>5.3295057123217138E-3</v>
      </c>
      <c r="Q25" s="2">
        <f>+C25-15018.5</f>
        <v>37481.690999999999</v>
      </c>
    </row>
    <row r="26" spans="1:21" x14ac:dyDescent="0.2">
      <c r="A26" s="45" t="s">
        <v>40</v>
      </c>
      <c r="B26" s="47" t="s">
        <v>33</v>
      </c>
      <c r="C26" s="45">
        <v>54950.8897</v>
      </c>
      <c r="D26" s="45" t="s">
        <v>52</v>
      </c>
      <c r="E26">
        <f t="shared" ref="E26:E33" si="1">+(C26-C$7)/C$8</f>
        <v>6050.0729652962109</v>
      </c>
      <c r="F26">
        <f t="shared" si="0"/>
        <v>6050</v>
      </c>
      <c r="G26">
        <f t="shared" ref="G26:G33" si="2">+C26-(C$7+F26*C$8)</f>
        <v>2.9556000001321081E-2</v>
      </c>
      <c r="K26">
        <f t="shared" ref="K26:K33" si="3">+G26</f>
        <v>2.9556000001321081E-2</v>
      </c>
      <c r="O26">
        <f t="shared" ref="O26:O33" ca="1" si="4">+C$11+C$12*$F26</f>
        <v>3.2464846760986543E-2</v>
      </c>
      <c r="Q26" s="2">
        <f t="shared" ref="Q26:Q33" si="5">+C26-15018.5</f>
        <v>39932.3897</v>
      </c>
    </row>
    <row r="27" spans="1:21" x14ac:dyDescent="0.2">
      <c r="A27" s="5" t="s">
        <v>40</v>
      </c>
      <c r="C27" s="10">
        <v>54950.889746772904</v>
      </c>
      <c r="D27" s="10">
        <v>2.9999999999999997E-4</v>
      </c>
      <c r="E27">
        <f t="shared" si="1"/>
        <v>6050.0730807651107</v>
      </c>
      <c r="F27">
        <f t="shared" si="0"/>
        <v>6050</v>
      </c>
      <c r="G27">
        <f t="shared" si="2"/>
        <v>2.9602772905491292E-2</v>
      </c>
      <c r="K27">
        <f t="shared" si="3"/>
        <v>2.9602772905491292E-2</v>
      </c>
      <c r="O27">
        <f t="shared" ca="1" si="4"/>
        <v>3.2464846760986543E-2</v>
      </c>
      <c r="Q27" s="2">
        <f t="shared" si="5"/>
        <v>39932.389746772904</v>
      </c>
    </row>
    <row r="28" spans="1:21" x14ac:dyDescent="0.2">
      <c r="A28" s="49" t="s">
        <v>41</v>
      </c>
      <c r="B28" s="50" t="s">
        <v>33</v>
      </c>
      <c r="C28" s="51">
        <v>55802.357300000003</v>
      </c>
      <c r="D28" s="51">
        <v>8.0000000000000004E-4</v>
      </c>
      <c r="E28">
        <f t="shared" si="1"/>
        <v>8152.1025242891901</v>
      </c>
      <c r="F28">
        <f t="shared" si="0"/>
        <v>8152</v>
      </c>
      <c r="G28">
        <f t="shared" si="2"/>
        <v>4.1529440000886098E-2</v>
      </c>
      <c r="K28">
        <f t="shared" si="3"/>
        <v>4.1529440000886098E-2</v>
      </c>
      <c r="O28">
        <f t="shared" ca="1" si="4"/>
        <v>4.1892695832770596E-2</v>
      </c>
      <c r="Q28" s="2">
        <f t="shared" si="5"/>
        <v>40783.857300000003</v>
      </c>
    </row>
    <row r="29" spans="1:21" x14ac:dyDescent="0.2">
      <c r="A29" s="45" t="s">
        <v>90</v>
      </c>
      <c r="B29" s="47" t="s">
        <v>39</v>
      </c>
      <c r="C29" s="45">
        <v>55820.380700000002</v>
      </c>
      <c r="D29" s="45" t="s">
        <v>52</v>
      </c>
      <c r="E29">
        <f t="shared" si="1"/>
        <v>8196.5971351863627</v>
      </c>
      <c r="F29">
        <f t="shared" si="0"/>
        <v>8196.5</v>
      </c>
      <c r="G29">
        <f t="shared" si="2"/>
        <v>3.9346479999949224E-2</v>
      </c>
      <c r="I29">
        <f>+G29</f>
        <v>3.9346479999949224E-2</v>
      </c>
      <c r="O29">
        <f t="shared" ca="1" si="4"/>
        <v>4.2092286357839286E-2</v>
      </c>
      <c r="Q29" s="2">
        <f t="shared" si="5"/>
        <v>40801.880700000002</v>
      </c>
    </row>
    <row r="30" spans="1:21" x14ac:dyDescent="0.2">
      <c r="A30" s="45" t="s">
        <v>90</v>
      </c>
      <c r="B30" s="47" t="s">
        <v>33</v>
      </c>
      <c r="C30" s="45">
        <v>55851.368799999997</v>
      </c>
      <c r="D30" s="45" t="s">
        <v>52</v>
      </c>
      <c r="E30">
        <f t="shared" si="1"/>
        <v>8273.0978759978989</v>
      </c>
      <c r="F30">
        <f t="shared" si="0"/>
        <v>8273</v>
      </c>
      <c r="G30">
        <f t="shared" si="2"/>
        <v>3.9646559998800512E-2</v>
      </c>
      <c r="I30">
        <f>+G30</f>
        <v>3.9646559998800512E-2</v>
      </c>
      <c r="O30">
        <f t="shared" ca="1" si="4"/>
        <v>4.2435402653743889E-2</v>
      </c>
      <c r="Q30" s="2">
        <f t="shared" si="5"/>
        <v>40832.868799999997</v>
      </c>
    </row>
    <row r="31" spans="1:21" x14ac:dyDescent="0.2">
      <c r="A31" s="54" t="s">
        <v>99</v>
      </c>
      <c r="B31" s="55" t="s">
        <v>33</v>
      </c>
      <c r="C31" s="56">
        <v>57595.417739999997</v>
      </c>
      <c r="D31" s="56">
        <v>4.0000000000000002E-4</v>
      </c>
      <c r="E31">
        <f t="shared" si="1"/>
        <v>12578.655038960245</v>
      </c>
      <c r="F31">
        <f t="shared" si="0"/>
        <v>12578.5</v>
      </c>
      <c r="G31">
        <f t="shared" si="2"/>
        <v>6.2801519998174626E-2</v>
      </c>
      <c r="K31">
        <f t="shared" si="3"/>
        <v>6.2801519998174626E-2</v>
      </c>
      <c r="O31">
        <f t="shared" ca="1" si="4"/>
        <v>6.1746346601682149E-2</v>
      </c>
      <c r="Q31" s="2">
        <f t="shared" si="5"/>
        <v>42576.917739999997</v>
      </c>
    </row>
    <row r="32" spans="1:21" x14ac:dyDescent="0.2">
      <c r="A32" s="57" t="s">
        <v>100</v>
      </c>
      <c r="B32" s="58" t="s">
        <v>33</v>
      </c>
      <c r="C32" s="59">
        <v>57957.553549999837</v>
      </c>
      <c r="D32" s="59">
        <v>2.9999999999999997E-4</v>
      </c>
      <c r="E32">
        <f t="shared" si="1"/>
        <v>13472.66460196596</v>
      </c>
      <c r="F32">
        <f t="shared" si="0"/>
        <v>13472.5</v>
      </c>
      <c r="G32">
        <f t="shared" si="2"/>
        <v>6.6675199836026877E-2</v>
      </c>
      <c r="K32">
        <f t="shared" si="3"/>
        <v>6.6675199836026877E-2</v>
      </c>
      <c r="O32">
        <f t="shared" ca="1" si="4"/>
        <v>6.575609782441047E-2</v>
      </c>
      <c r="Q32" s="2">
        <f t="shared" si="5"/>
        <v>42939.053549999837</v>
      </c>
    </row>
    <row r="33" spans="1:17" x14ac:dyDescent="0.2">
      <c r="A33" s="57" t="s">
        <v>100</v>
      </c>
      <c r="B33" s="58" t="s">
        <v>33</v>
      </c>
      <c r="C33" s="59">
        <v>57990.36752999993</v>
      </c>
      <c r="D33" s="59">
        <v>2.9999999999999997E-4</v>
      </c>
      <c r="E33">
        <f t="shared" si="1"/>
        <v>13553.672917383248</v>
      </c>
      <c r="F33">
        <f t="shared" si="0"/>
        <v>13553.5</v>
      </c>
      <c r="G33">
        <f t="shared" si="2"/>
        <v>7.0043519932369236E-2</v>
      </c>
      <c r="K33">
        <f t="shared" si="3"/>
        <v>7.0043519932369236E-2</v>
      </c>
      <c r="O33">
        <f t="shared" ca="1" si="4"/>
        <v>6.6119397431838867E-2</v>
      </c>
      <c r="Q33" s="2">
        <f t="shared" si="5"/>
        <v>42971.86752999993</v>
      </c>
    </row>
    <row r="34" spans="1:17" x14ac:dyDescent="0.2">
      <c r="C34" s="10"/>
      <c r="D34" s="10"/>
    </row>
    <row r="35" spans="1:17" x14ac:dyDescent="0.2">
      <c r="C35" s="10"/>
      <c r="D35" s="10"/>
    </row>
    <row r="36" spans="1:17" x14ac:dyDescent="0.2">
      <c r="C36" s="10"/>
      <c r="D36" s="10"/>
    </row>
    <row r="37" spans="1:17" x14ac:dyDescent="0.2">
      <c r="C37" s="10"/>
      <c r="D37" s="10"/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hyperlinks>
    <hyperlink ref="H905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8"/>
  <sheetViews>
    <sheetView workbookViewId="0">
      <selection activeCell="A13" sqref="A13:D1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42</v>
      </c>
      <c r="I1" s="33" t="s">
        <v>43</v>
      </c>
      <c r="J1" s="34" t="s">
        <v>44</v>
      </c>
    </row>
    <row r="2" spans="1:16" x14ac:dyDescent="0.2">
      <c r="I2" s="35" t="s">
        <v>45</v>
      </c>
      <c r="J2" s="36" t="s">
        <v>46</v>
      </c>
    </row>
    <row r="3" spans="1:16" x14ac:dyDescent="0.2">
      <c r="A3" s="37" t="s">
        <v>47</v>
      </c>
      <c r="I3" s="35" t="s">
        <v>48</v>
      </c>
      <c r="J3" s="36" t="s">
        <v>49</v>
      </c>
    </row>
    <row r="4" spans="1:16" x14ac:dyDescent="0.2">
      <c r="I4" s="35" t="s">
        <v>50</v>
      </c>
      <c r="J4" s="36" t="s">
        <v>49</v>
      </c>
    </row>
    <row r="5" spans="1:16" ht="13.5" thickBot="1" x14ac:dyDescent="0.25">
      <c r="I5" s="38" t="s">
        <v>51</v>
      </c>
      <c r="J5" s="39" t="s">
        <v>52</v>
      </c>
    </row>
    <row r="10" spans="1:16" ht="13.5" thickBot="1" x14ac:dyDescent="0.25"/>
    <row r="11" spans="1:16" ht="12.75" customHeight="1" thickBot="1" x14ac:dyDescent="0.25">
      <c r="A11" s="10" t="str">
        <f t="shared" ref="A11:A18" si="0">P11</f>
        <v>IBVS 5027 </v>
      </c>
      <c r="B11" s="3" t="str">
        <f t="shared" ref="B11:B18" si="1">IF(H11=INT(H11),"I","II")</f>
        <v>I</v>
      </c>
      <c r="C11" s="10">
        <f t="shared" ref="C11:C18" si="2">1*G11</f>
        <v>51283.751400000001</v>
      </c>
      <c r="D11" s="12" t="str">
        <f t="shared" ref="D11:D18" si="3">VLOOKUP(F11,I$1:J$5,2,FALSE)</f>
        <v>vis</v>
      </c>
      <c r="E11" s="40">
        <f>VLOOKUP(C11,Active!C$21:E$973,3,FALSE)</f>
        <v>-3003.0408625408422</v>
      </c>
      <c r="F11" s="3" t="s">
        <v>51</v>
      </c>
      <c r="G11" s="12" t="str">
        <f t="shared" ref="G11:G18" si="4">MID(I11,3,LEN(I11)-3)</f>
        <v>51283.7514</v>
      </c>
      <c r="H11" s="10">
        <f t="shared" ref="H11:H18" si="5">1*K11</f>
        <v>-3003</v>
      </c>
      <c r="I11" s="41" t="s">
        <v>59</v>
      </c>
      <c r="J11" s="42" t="s">
        <v>60</v>
      </c>
      <c r="K11" s="41">
        <v>-3003</v>
      </c>
      <c r="L11" s="41" t="s">
        <v>61</v>
      </c>
      <c r="M11" s="42" t="s">
        <v>62</v>
      </c>
      <c r="N11" s="42" t="s">
        <v>63</v>
      </c>
      <c r="O11" s="43" t="s">
        <v>64</v>
      </c>
      <c r="P11" s="44" t="s">
        <v>65</v>
      </c>
    </row>
    <row r="12" spans="1:16" ht="12.75" customHeight="1" thickBot="1" x14ac:dyDescent="0.25">
      <c r="A12" s="10" t="str">
        <f t="shared" si="0"/>
        <v>IBVS 6033 </v>
      </c>
      <c r="B12" s="3" t="str">
        <f t="shared" si="1"/>
        <v>I</v>
      </c>
      <c r="C12" s="10">
        <f t="shared" si="2"/>
        <v>55802.357300000003</v>
      </c>
      <c r="D12" s="12" t="str">
        <f t="shared" si="3"/>
        <v>vis</v>
      </c>
      <c r="E12" s="40">
        <f>VLOOKUP(C12,Active!C$21:E$973,3,FALSE)</f>
        <v>8152.1025242891901</v>
      </c>
      <c r="F12" s="3" t="s">
        <v>51</v>
      </c>
      <c r="G12" s="12" t="str">
        <f t="shared" si="4"/>
        <v>55802.3573</v>
      </c>
      <c r="H12" s="10">
        <f t="shared" si="5"/>
        <v>8152</v>
      </c>
      <c r="I12" s="41" t="s">
        <v>80</v>
      </c>
      <c r="J12" s="42" t="s">
        <v>81</v>
      </c>
      <c r="K12" s="41">
        <v>8152</v>
      </c>
      <c r="L12" s="41" t="s">
        <v>82</v>
      </c>
      <c r="M12" s="42" t="s">
        <v>76</v>
      </c>
      <c r="N12" s="42" t="s">
        <v>51</v>
      </c>
      <c r="O12" s="43" t="s">
        <v>83</v>
      </c>
      <c r="P12" s="44" t="s">
        <v>84</v>
      </c>
    </row>
    <row r="13" spans="1:16" ht="12.75" customHeight="1" thickBot="1" x14ac:dyDescent="0.25">
      <c r="A13" s="10" t="str">
        <f t="shared" si="0"/>
        <v>IBVS 2492 </v>
      </c>
      <c r="B13" s="3" t="str">
        <f t="shared" si="1"/>
        <v>I</v>
      </c>
      <c r="C13" s="10">
        <f t="shared" si="2"/>
        <v>39415.247000000003</v>
      </c>
      <c r="D13" s="12" t="str">
        <f t="shared" si="3"/>
        <v>vis</v>
      </c>
      <c r="E13" s="40">
        <f>VLOOKUP(C13,Active!C$21:E$973,3,FALSE)</f>
        <v>-32302.977900471735</v>
      </c>
      <c r="F13" s="3" t="s">
        <v>51</v>
      </c>
      <c r="G13" s="12" t="str">
        <f t="shared" si="4"/>
        <v>39415.247</v>
      </c>
      <c r="H13" s="10">
        <f t="shared" si="5"/>
        <v>-32302</v>
      </c>
      <c r="I13" s="41" t="s">
        <v>54</v>
      </c>
      <c r="J13" s="42" t="s">
        <v>55</v>
      </c>
      <c r="K13" s="41">
        <v>-32302</v>
      </c>
      <c r="L13" s="41" t="s">
        <v>56</v>
      </c>
      <c r="M13" s="42" t="s">
        <v>53</v>
      </c>
      <c r="N13" s="42"/>
      <c r="O13" s="43" t="s">
        <v>57</v>
      </c>
      <c r="P13" s="44" t="s">
        <v>58</v>
      </c>
    </row>
    <row r="14" spans="1:16" ht="12.75" customHeight="1" thickBot="1" x14ac:dyDescent="0.25">
      <c r="A14" s="10" t="str">
        <f t="shared" si="0"/>
        <v>IBVS 5027 </v>
      </c>
      <c r="B14" s="3" t="str">
        <f t="shared" si="1"/>
        <v>II</v>
      </c>
      <c r="C14" s="10">
        <f t="shared" si="2"/>
        <v>51312.729200000002</v>
      </c>
      <c r="D14" s="12" t="str">
        <f t="shared" si="3"/>
        <v>vis</v>
      </c>
      <c r="E14" s="40">
        <f>VLOOKUP(C14,Active!C$21:E$973,3,FALSE)</f>
        <v>-2931.5029764784863</v>
      </c>
      <c r="F14" s="3" t="s">
        <v>51</v>
      </c>
      <c r="G14" s="12" t="str">
        <f t="shared" si="4"/>
        <v>51312.7292</v>
      </c>
      <c r="H14" s="10">
        <f t="shared" si="5"/>
        <v>-2931.5</v>
      </c>
      <c r="I14" s="41" t="s">
        <v>66</v>
      </c>
      <c r="J14" s="42" t="s">
        <v>67</v>
      </c>
      <c r="K14" s="41">
        <v>-2931.5</v>
      </c>
      <c r="L14" s="41" t="s">
        <v>68</v>
      </c>
      <c r="M14" s="42" t="s">
        <v>62</v>
      </c>
      <c r="N14" s="42" t="s">
        <v>63</v>
      </c>
      <c r="O14" s="43" t="s">
        <v>64</v>
      </c>
      <c r="P14" s="44" t="s">
        <v>65</v>
      </c>
    </row>
    <row r="15" spans="1:16" ht="12.75" customHeight="1" thickBot="1" x14ac:dyDescent="0.25">
      <c r="A15" s="10" t="str">
        <f t="shared" si="0"/>
        <v> BBS 128 </v>
      </c>
      <c r="B15" s="3" t="str">
        <f t="shared" si="1"/>
        <v>I</v>
      </c>
      <c r="C15" s="10">
        <f t="shared" si="2"/>
        <v>52460.512000000002</v>
      </c>
      <c r="D15" s="12" t="str">
        <f t="shared" si="3"/>
        <v>vis</v>
      </c>
      <c r="E15" s="40">
        <f>VLOOKUP(C15,Active!C$21:E$973,3,FALSE)</f>
        <v>-97.956082969304532</v>
      </c>
      <c r="F15" s="3" t="s">
        <v>51</v>
      </c>
      <c r="G15" s="12" t="str">
        <f t="shared" si="4"/>
        <v>52460.512</v>
      </c>
      <c r="H15" s="10">
        <f t="shared" si="5"/>
        <v>-98</v>
      </c>
      <c r="I15" s="41" t="s">
        <v>69</v>
      </c>
      <c r="J15" s="42" t="s">
        <v>70</v>
      </c>
      <c r="K15" s="41">
        <v>-98</v>
      </c>
      <c r="L15" s="41" t="s">
        <v>71</v>
      </c>
      <c r="M15" s="42" t="s">
        <v>62</v>
      </c>
      <c r="N15" s="42" t="s">
        <v>63</v>
      </c>
      <c r="O15" s="43" t="s">
        <v>64</v>
      </c>
      <c r="P15" s="43" t="s">
        <v>72</v>
      </c>
    </row>
    <row r="16" spans="1:16" ht="12.75" customHeight="1" thickBot="1" x14ac:dyDescent="0.25">
      <c r="A16" s="10" t="str">
        <f t="shared" si="0"/>
        <v>IBVS 5929 </v>
      </c>
      <c r="B16" s="3" t="str">
        <f t="shared" si="1"/>
        <v>I</v>
      </c>
      <c r="C16" s="10">
        <f t="shared" si="2"/>
        <v>54950.8897</v>
      </c>
      <c r="D16" s="12" t="str">
        <f t="shared" si="3"/>
        <v>vis</v>
      </c>
      <c r="E16" s="40">
        <f>VLOOKUP(C16,Active!C$21:E$973,3,FALSE)</f>
        <v>6050.0729652962109</v>
      </c>
      <c r="F16" s="3" t="s">
        <v>51</v>
      </c>
      <c r="G16" s="12" t="str">
        <f t="shared" si="4"/>
        <v>54950.8897</v>
      </c>
      <c r="H16" s="10">
        <f t="shared" si="5"/>
        <v>6050</v>
      </c>
      <c r="I16" s="41" t="s">
        <v>73</v>
      </c>
      <c r="J16" s="42" t="s">
        <v>74</v>
      </c>
      <c r="K16" s="41">
        <v>6050</v>
      </c>
      <c r="L16" s="41" t="s">
        <v>75</v>
      </c>
      <c r="M16" s="42" t="s">
        <v>76</v>
      </c>
      <c r="N16" s="42" t="s">
        <v>77</v>
      </c>
      <c r="O16" s="43" t="s">
        <v>78</v>
      </c>
      <c r="P16" s="44" t="s">
        <v>79</v>
      </c>
    </row>
    <row r="17" spans="1:16" ht="12.75" customHeight="1" thickBot="1" x14ac:dyDescent="0.25">
      <c r="A17" s="10" t="str">
        <f t="shared" si="0"/>
        <v>BAVM 225 </v>
      </c>
      <c r="B17" s="3" t="str">
        <f t="shared" si="1"/>
        <v>II</v>
      </c>
      <c r="C17" s="10">
        <f t="shared" si="2"/>
        <v>55820.380700000002</v>
      </c>
      <c r="D17" s="12" t="str">
        <f t="shared" si="3"/>
        <v>vis</v>
      </c>
      <c r="E17" s="40">
        <f>VLOOKUP(C17,Active!C$21:E$973,3,FALSE)</f>
        <v>8196.5971351863627</v>
      </c>
      <c r="F17" s="3" t="s">
        <v>51</v>
      </c>
      <c r="G17" s="12" t="str">
        <f t="shared" si="4"/>
        <v>55820.3807</v>
      </c>
      <c r="H17" s="10">
        <f t="shared" si="5"/>
        <v>8196.5</v>
      </c>
      <c r="I17" s="41" t="s">
        <v>85</v>
      </c>
      <c r="J17" s="42" t="s">
        <v>86</v>
      </c>
      <c r="K17" s="41">
        <v>8196.5</v>
      </c>
      <c r="L17" s="41" t="s">
        <v>87</v>
      </c>
      <c r="M17" s="42" t="s">
        <v>76</v>
      </c>
      <c r="N17" s="42" t="s">
        <v>88</v>
      </c>
      <c r="O17" s="43" t="s">
        <v>89</v>
      </c>
      <c r="P17" s="44" t="s">
        <v>90</v>
      </c>
    </row>
    <row r="18" spans="1:16" ht="12.75" customHeight="1" thickBot="1" x14ac:dyDescent="0.25">
      <c r="A18" s="10" t="str">
        <f t="shared" si="0"/>
        <v>BAVM 225 </v>
      </c>
      <c r="B18" s="3" t="str">
        <f t="shared" si="1"/>
        <v>I</v>
      </c>
      <c r="C18" s="10">
        <f t="shared" si="2"/>
        <v>55851.368799999997</v>
      </c>
      <c r="D18" s="12" t="str">
        <f t="shared" si="3"/>
        <v>vis</v>
      </c>
      <c r="E18" s="40">
        <f>VLOOKUP(C18,Active!C$21:E$973,3,FALSE)</f>
        <v>8273.0978759978989</v>
      </c>
      <c r="F18" s="3" t="s">
        <v>51</v>
      </c>
      <c r="G18" s="12" t="str">
        <f t="shared" si="4"/>
        <v>55851.3688</v>
      </c>
      <c r="H18" s="10">
        <f t="shared" si="5"/>
        <v>8273</v>
      </c>
      <c r="I18" s="41" t="s">
        <v>91</v>
      </c>
      <c r="J18" s="42" t="s">
        <v>92</v>
      </c>
      <c r="K18" s="41" t="s">
        <v>93</v>
      </c>
      <c r="L18" s="41" t="s">
        <v>94</v>
      </c>
      <c r="M18" s="42" t="s">
        <v>76</v>
      </c>
      <c r="N18" s="42" t="s">
        <v>88</v>
      </c>
      <c r="O18" s="43" t="s">
        <v>89</v>
      </c>
      <c r="P18" s="44" t="s">
        <v>90</v>
      </c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</sheetData>
  <phoneticPr fontId="7" type="noConversion"/>
  <hyperlinks>
    <hyperlink ref="P13" r:id="rId1" display="http://www.konkoly.hu/cgi-bin/IBVS?2492"/>
    <hyperlink ref="P11" r:id="rId2" display="http://www.konkoly.hu/cgi-bin/IBVS?5027"/>
    <hyperlink ref="P14" r:id="rId3" display="http://www.konkoly.hu/cgi-bin/IBVS?5027"/>
    <hyperlink ref="P16" r:id="rId4" display="http://www.konkoly.hu/cgi-bin/IBVS?5929"/>
    <hyperlink ref="P12" r:id="rId5" display="http://www.konkoly.hu/cgi-bin/IBVS?6033"/>
    <hyperlink ref="P17" r:id="rId6" display="http://www.bav-astro.de/sfs/BAVM_link.php?BAVMnr=225"/>
    <hyperlink ref="P18" r:id="rId7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2024-02-04T05:00:14Z</dcterms:modified>
</cp:coreProperties>
</file>