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B961846-949D-4F91-A553-F48EF42B374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A45" i="1" l="1"/>
  <c r="E21" i="1"/>
  <c r="F21" i="1"/>
  <c r="G21" i="1"/>
  <c r="I21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I28" i="1"/>
  <c r="E29" i="1"/>
  <c r="F29" i="1"/>
  <c r="G29" i="1"/>
  <c r="I29" i="1"/>
  <c r="E30" i="1"/>
  <c r="F30" i="1"/>
  <c r="G30" i="1"/>
  <c r="I30" i="1"/>
  <c r="E31" i="1"/>
  <c r="F31" i="1"/>
  <c r="G31" i="1"/>
  <c r="I31" i="1"/>
  <c r="E32" i="1"/>
  <c r="F32" i="1"/>
  <c r="G32" i="1"/>
  <c r="I32" i="1"/>
  <c r="E33" i="1"/>
  <c r="F33" i="1"/>
  <c r="G33" i="1"/>
  <c r="I33" i="1"/>
  <c r="E34" i="1"/>
  <c r="F34" i="1"/>
  <c r="G34" i="1"/>
  <c r="I34" i="1"/>
  <c r="E35" i="1"/>
  <c r="F35" i="1"/>
  <c r="G35" i="1"/>
  <c r="I35" i="1"/>
  <c r="E36" i="1"/>
  <c r="F36" i="1"/>
  <c r="G36" i="1"/>
  <c r="I36" i="1"/>
  <c r="E37" i="1"/>
  <c r="F37" i="1"/>
  <c r="G37" i="1"/>
  <c r="I37" i="1"/>
  <c r="E38" i="1"/>
  <c r="F38" i="1"/>
  <c r="G38" i="1"/>
  <c r="I38" i="1"/>
  <c r="E39" i="1"/>
  <c r="F39" i="1"/>
  <c r="G39" i="1"/>
  <c r="I39" i="1"/>
  <c r="E40" i="1"/>
  <c r="F40" i="1"/>
  <c r="G40" i="1"/>
  <c r="I40" i="1"/>
  <c r="E41" i="1"/>
  <c r="F41" i="1"/>
  <c r="G41" i="1"/>
  <c r="I41" i="1"/>
  <c r="E42" i="1"/>
  <c r="F42" i="1"/>
  <c r="G42" i="1"/>
  <c r="I42" i="1"/>
  <c r="E43" i="1"/>
  <c r="F43" i="1"/>
  <c r="G43" i="1"/>
  <c r="I43" i="1"/>
  <c r="E44" i="1"/>
  <c r="F44" i="1"/>
  <c r="G44" i="1"/>
  <c r="I44" i="1"/>
  <c r="E46" i="1"/>
  <c r="F46" i="1"/>
  <c r="G46" i="1"/>
  <c r="I46" i="1"/>
  <c r="E47" i="1"/>
  <c r="F47" i="1"/>
  <c r="G47" i="1"/>
  <c r="I47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6" i="1"/>
  <c r="Q47" i="1"/>
  <c r="G37" i="2"/>
  <c r="C37" i="2"/>
  <c r="E37" i="2"/>
  <c r="G36" i="2"/>
  <c r="C36" i="2"/>
  <c r="E36" i="2"/>
  <c r="G11" i="2"/>
  <c r="C11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H37" i="2"/>
  <c r="D37" i="2"/>
  <c r="B37" i="2"/>
  <c r="A37" i="2"/>
  <c r="H36" i="2"/>
  <c r="B36" i="2"/>
  <c r="D36" i="2"/>
  <c r="A36" i="2"/>
  <c r="H11" i="2"/>
  <c r="D11" i="2"/>
  <c r="B11" i="2"/>
  <c r="A11" i="2"/>
  <c r="H35" i="2"/>
  <c r="B35" i="2"/>
  <c r="D35" i="2"/>
  <c r="A35" i="2"/>
  <c r="H34" i="2"/>
  <c r="D34" i="2"/>
  <c r="B34" i="2"/>
  <c r="A34" i="2"/>
  <c r="H33" i="2"/>
  <c r="B33" i="2"/>
  <c r="D33" i="2"/>
  <c r="A33" i="2"/>
  <c r="H32" i="2"/>
  <c r="D32" i="2"/>
  <c r="B32" i="2"/>
  <c r="A32" i="2"/>
  <c r="H31" i="2"/>
  <c r="B31" i="2"/>
  <c r="D31" i="2"/>
  <c r="A31" i="2"/>
  <c r="H30" i="2"/>
  <c r="D30" i="2"/>
  <c r="B30" i="2"/>
  <c r="A30" i="2"/>
  <c r="H29" i="2"/>
  <c r="B29" i="2"/>
  <c r="D29" i="2"/>
  <c r="A29" i="2"/>
  <c r="H28" i="2"/>
  <c r="D28" i="2"/>
  <c r="B28" i="2"/>
  <c r="A28" i="2"/>
  <c r="H27" i="2"/>
  <c r="B27" i="2"/>
  <c r="D27" i="2"/>
  <c r="A27" i="2"/>
  <c r="H26" i="2"/>
  <c r="D26" i="2"/>
  <c r="B26" i="2"/>
  <c r="A26" i="2"/>
  <c r="H25" i="2"/>
  <c r="B25" i="2"/>
  <c r="D25" i="2"/>
  <c r="A25" i="2"/>
  <c r="H24" i="2"/>
  <c r="D24" i="2"/>
  <c r="B24" i="2"/>
  <c r="A24" i="2"/>
  <c r="H23" i="2"/>
  <c r="B23" i="2"/>
  <c r="D23" i="2"/>
  <c r="A23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D9" i="1"/>
  <c r="C45" i="1"/>
  <c r="E9" i="1"/>
  <c r="F16" i="1"/>
  <c r="F17" i="1" s="1"/>
  <c r="Q45" i="1"/>
  <c r="G45" i="1"/>
  <c r="E11" i="2"/>
  <c r="E45" i="1"/>
  <c r="F45" i="1"/>
  <c r="C17" i="1"/>
  <c r="I45" i="1"/>
  <c r="C12" i="1"/>
  <c r="C11" i="1"/>
  <c r="O36" i="1" l="1"/>
  <c r="O42" i="1"/>
  <c r="C15" i="1"/>
  <c r="F18" i="1" s="1"/>
  <c r="O44" i="1"/>
  <c r="O21" i="1"/>
  <c r="O27" i="1"/>
  <c r="O45" i="1"/>
  <c r="O35" i="1"/>
  <c r="O39" i="1"/>
  <c r="O29" i="1"/>
  <c r="O23" i="1"/>
  <c r="O37" i="1"/>
  <c r="O43" i="1"/>
  <c r="O30" i="1"/>
  <c r="O25" i="1"/>
  <c r="O31" i="1"/>
  <c r="O46" i="1"/>
  <c r="O22" i="1"/>
  <c r="O33" i="1"/>
  <c r="O41" i="1"/>
  <c r="O26" i="1"/>
  <c r="O32" i="1"/>
  <c r="O38" i="1"/>
  <c r="O28" i="1"/>
  <c r="O34" i="1"/>
  <c r="O40" i="1"/>
  <c r="O47" i="1"/>
  <c r="O24" i="1"/>
  <c r="C16" i="1"/>
  <c r="D18" i="1" s="1"/>
  <c r="C18" i="1" l="1"/>
  <c r="F19" i="1"/>
</calcChain>
</file>

<file path=xl/sharedStrings.xml><?xml version="1.0" encoding="utf-8"?>
<sst xmlns="http://schemas.openxmlformats.org/spreadsheetml/2006/main" count="330" uniqueCount="134">
  <si>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</si>
  <si>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</si>
  <si>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</si>
  <si>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</si>
  <si>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</si>
  <si>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</si>
  <si>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</si>
  <si>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</si>
  <si>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</si>
  <si>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</si>
  <si>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</si>
  <si>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</si>
  <si>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</si>
  <si>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</si>
  <si>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</si>
  <si>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</si>
  <si>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</si>
  <si>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</si>
  <si>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</si>
  <si>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</si>
  <si>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</si>
  <si>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</si>
  <si>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</si>
  <si>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</si>
  <si>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</si>
  <si>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</si>
  <si>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</si>
  <si>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</si>
  <si>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</si>
  <si>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</si>
  <si>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</si>
  <si>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</si>
  <si>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</si>
  <si>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</si>
  <si>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</si>
  <si>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</si>
  <si>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</si>
  <si>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</si>
  <si>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</si>
  <si>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</si>
  <si>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</si>
  <si>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</si>
  <si>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</si>
  <si>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</si>
  <si>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</si>
  <si>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</si>
  <si>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</si>
  <si>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</si>
  <si>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</si>
  <si>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V1788 Cyg</t>
  </si>
  <si>
    <t>V1788 Cyg / GSC 47334.2</t>
  </si>
  <si>
    <t>BRNO</t>
  </si>
  <si>
    <t>2445558.7 </t>
  </si>
  <si>
    <t> 12.08.1983 04:48 </t>
  </si>
  <si>
    <t> 0.0 </t>
  </si>
  <si>
    <t>V </t>
  </si>
  <si>
    <t> K.Locher </t>
  </si>
  <si>
    <t> BBS 68 </t>
  </si>
  <si>
    <t>2445574.1 </t>
  </si>
  <si>
    <t> 27.08.1983 14:24 </t>
  </si>
  <si>
    <t> -0.1 </t>
  </si>
  <si>
    <t>2445587.6 </t>
  </si>
  <si>
    <t> 10.09.1983 02:24 </t>
  </si>
  <si>
    <t>2445601.6 </t>
  </si>
  <si>
    <t> 24.09.1983 02:24 </t>
  </si>
  <si>
    <t>2445642.4 </t>
  </si>
  <si>
    <t> 03.11.1983 21:36 </t>
  </si>
  <si>
    <t> -0.3 </t>
  </si>
  <si>
    <t> BBS 69 </t>
  </si>
  <si>
    <t>2445869.5 </t>
  </si>
  <si>
    <t> 18.06.1984 00:00 </t>
  </si>
  <si>
    <t> -0.2 </t>
  </si>
  <si>
    <t> BBS 72 </t>
  </si>
  <si>
    <t>2445883.4 </t>
  </si>
  <si>
    <t> 01.07.1984 21:36 </t>
  </si>
  <si>
    <t> BBS 73 </t>
  </si>
  <si>
    <t>2445897.0 </t>
  </si>
  <si>
    <t> 15.07.1984 12:00 </t>
  </si>
  <si>
    <t>2445925.4 </t>
  </si>
  <si>
    <t> 12.08.1984 21:36 </t>
  </si>
  <si>
    <t>2445939.9 </t>
  </si>
  <si>
    <t> 27.08.1984 09:36 </t>
  </si>
  <si>
    <t>2446010.6 </t>
  </si>
  <si>
    <t> 06.11.1984 02:24 </t>
  </si>
  <si>
    <t> BBS 74 </t>
  </si>
  <si>
    <t>2446037.8 </t>
  </si>
  <si>
    <t> 03.12.1984 07:12 </t>
  </si>
  <si>
    <t> -0.4 </t>
  </si>
  <si>
    <t> BBS 75 </t>
  </si>
  <si>
    <t>2446053.1 </t>
  </si>
  <si>
    <t> 18.12.1984 14:24 </t>
  </si>
  <si>
    <t> -0.6 </t>
  </si>
  <si>
    <t>2446179.5 </t>
  </si>
  <si>
    <t> 24.04.1985 00:00 </t>
  </si>
  <si>
    <t> -0.7 </t>
  </si>
  <si>
    <t>2446291.0 </t>
  </si>
  <si>
    <t> 13.08.1985 12:00 </t>
  </si>
  <si>
    <t> BBS 78 </t>
  </si>
  <si>
    <t>2446319.1 </t>
  </si>
  <si>
    <t> 10.09.1985 14:24 </t>
  </si>
  <si>
    <t>2446346.4 </t>
  </si>
  <si>
    <t> 07.10.1985 21:36 </t>
  </si>
  <si>
    <t>2446376.3 </t>
  </si>
  <si>
    <t> 06.11.1985 19:12 </t>
  </si>
  <si>
    <t> BBS 79 </t>
  </si>
  <si>
    <t>2446559.4 </t>
  </si>
  <si>
    <t> 08.05.1986 21:36 </t>
  </si>
  <si>
    <t> BBS 80 </t>
  </si>
  <si>
    <t>2446616.5 </t>
  </si>
  <si>
    <t> 05.07.1986 00:00 </t>
  </si>
  <si>
    <t>2446643.4 </t>
  </si>
  <si>
    <t> 31.07.1986 21:36 </t>
  </si>
  <si>
    <t> BBS 81 </t>
  </si>
  <si>
    <t>2446910.0 </t>
  </si>
  <si>
    <t> 24.04.1987 12:00 </t>
  </si>
  <si>
    <t> BBS 83 </t>
  </si>
  <si>
    <t>2447025.3 </t>
  </si>
  <si>
    <t> 17.08.1987 19:12 </t>
  </si>
  <si>
    <t> BBS 85 </t>
  </si>
  <si>
    <t>2447110.0 </t>
  </si>
  <si>
    <t> 10.11.1987 12:00 </t>
  </si>
  <si>
    <t> BBS 86 </t>
  </si>
  <si>
    <t>2447334.2 </t>
  </si>
  <si>
    <t> 21.06.1988 16:48 </t>
  </si>
  <si>
    <t> -0.5 </t>
  </si>
  <si>
    <t> BBS 88 </t>
  </si>
  <si>
    <t>2447768.6 </t>
  </si>
  <si>
    <t> 30.08.1989 02:24 </t>
  </si>
  <si>
    <t> BBS 92 </t>
  </si>
  <si>
    <t>2447824.0 </t>
  </si>
  <si>
    <t> 24.10.1989 12:00 </t>
  </si>
  <si>
    <t> BBS 93 </t>
  </si>
  <si>
    <t>I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</si>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</sst>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2" fillId="0" borderId="2" applyNumberFormat="0" applyFont="0" applyFill="0" applyAlignment="0" applyProtection="0"/>
  </cellStyleXfs>
  <cellXfs count="5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NumberFormat="1" applyFont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7" fillId="0" borderId="1" xfId="0" applyFont="1" applyFill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0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6" fillId="4" borderId="1" xfId="0" applyFont="1" applyFill="1" applyBorder="1" applyAlignment="1">
      <alignment horizontal="left"/>
    </xf>
    <xf numFmtId="0" fontId="18" fillId="0" borderId="1" xfId="0" applyNumberFormat="1" applyFont="1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0" fillId="0" borderId="1" xfId="0" applyBorder="1">
      <alignment vertical="top"/>
    </xf>
    <xf numFmtId="0" fontId="21" fillId="0" borderId="0" xfId="0" applyFont="1" applyAlignment="1"/>
    <xf numFmtId="0" fontId="21" fillId="0" borderId="0" xfId="0" applyFont="1" applyAlignment="1">
      <alignment horizontal="left"/>
    </xf>
    <xf numFmtId="0" fontId="0" fillId="0" borderId="0" xfId="0" applyAlignment="1">
      <alignment horizontal="center" vertical="top"/>
    </xf>
    <xf numFmtId="0" fontId="21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V1788 Cyg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90977443609022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-63</c:v>
                </c:pt>
                <c:pt idx="1">
                  <c:v>-62.5</c:v>
                </c:pt>
                <c:pt idx="2">
                  <c:v>-62</c:v>
                </c:pt>
                <c:pt idx="3">
                  <c:v>-61.5</c:v>
                </c:pt>
                <c:pt idx="4">
                  <c:v>-60</c:v>
                </c:pt>
                <c:pt idx="5">
                  <c:v>-52</c:v>
                </c:pt>
                <c:pt idx="6">
                  <c:v>-51.5</c:v>
                </c:pt>
                <c:pt idx="7">
                  <c:v>-51</c:v>
                </c:pt>
                <c:pt idx="8">
                  <c:v>-50</c:v>
                </c:pt>
                <c:pt idx="9">
                  <c:v>-49.5</c:v>
                </c:pt>
                <c:pt idx="10">
                  <c:v>-47</c:v>
                </c:pt>
                <c:pt idx="11">
                  <c:v>-46</c:v>
                </c:pt>
                <c:pt idx="12">
                  <c:v>-45.5</c:v>
                </c:pt>
                <c:pt idx="13">
                  <c:v>-41</c:v>
                </c:pt>
                <c:pt idx="14">
                  <c:v>-37</c:v>
                </c:pt>
                <c:pt idx="15">
                  <c:v>-36</c:v>
                </c:pt>
                <c:pt idx="16">
                  <c:v>-35</c:v>
                </c:pt>
                <c:pt idx="17">
                  <c:v>-34</c:v>
                </c:pt>
                <c:pt idx="18">
                  <c:v>-27.5</c:v>
                </c:pt>
                <c:pt idx="19">
                  <c:v>-25.5</c:v>
                </c:pt>
                <c:pt idx="20">
                  <c:v>-24.5</c:v>
                </c:pt>
                <c:pt idx="21">
                  <c:v>-15</c:v>
                </c:pt>
                <c:pt idx="22">
                  <c:v>-11</c:v>
                </c:pt>
                <c:pt idx="23">
                  <c:v>-8</c:v>
                </c:pt>
                <c:pt idx="24">
                  <c:v>0</c:v>
                </c:pt>
                <c:pt idx="25">
                  <c:v>15.5</c:v>
                </c:pt>
                <c:pt idx="26">
                  <c:v>17.5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D0-4247-8A72-2FBD8BEDED3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-63</c:v>
                </c:pt>
                <c:pt idx="1">
                  <c:v>-62.5</c:v>
                </c:pt>
                <c:pt idx="2">
                  <c:v>-62</c:v>
                </c:pt>
                <c:pt idx="3">
                  <c:v>-61.5</c:v>
                </c:pt>
                <c:pt idx="4">
                  <c:v>-60</c:v>
                </c:pt>
                <c:pt idx="5">
                  <c:v>-52</c:v>
                </c:pt>
                <c:pt idx="6">
                  <c:v>-51.5</c:v>
                </c:pt>
                <c:pt idx="7">
                  <c:v>-51</c:v>
                </c:pt>
                <c:pt idx="8">
                  <c:v>-50</c:v>
                </c:pt>
                <c:pt idx="9">
                  <c:v>-49.5</c:v>
                </c:pt>
                <c:pt idx="10">
                  <c:v>-47</c:v>
                </c:pt>
                <c:pt idx="11">
                  <c:v>-46</c:v>
                </c:pt>
                <c:pt idx="12">
                  <c:v>-45.5</c:v>
                </c:pt>
                <c:pt idx="13">
                  <c:v>-41</c:v>
                </c:pt>
                <c:pt idx="14">
                  <c:v>-37</c:v>
                </c:pt>
                <c:pt idx="15">
                  <c:v>-36</c:v>
                </c:pt>
                <c:pt idx="16">
                  <c:v>-35</c:v>
                </c:pt>
                <c:pt idx="17">
                  <c:v>-34</c:v>
                </c:pt>
                <c:pt idx="18">
                  <c:v>-27.5</c:v>
                </c:pt>
                <c:pt idx="19">
                  <c:v>-25.5</c:v>
                </c:pt>
                <c:pt idx="20">
                  <c:v>-24.5</c:v>
                </c:pt>
                <c:pt idx="21">
                  <c:v>-15</c:v>
                </c:pt>
                <c:pt idx="22">
                  <c:v>-11</c:v>
                </c:pt>
                <c:pt idx="23">
                  <c:v>-8</c:v>
                </c:pt>
                <c:pt idx="24">
                  <c:v>0</c:v>
                </c:pt>
                <c:pt idx="25">
                  <c:v>15.5</c:v>
                </c:pt>
                <c:pt idx="26">
                  <c:v>17.5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-2.3649999999979627</c:v>
                </c:pt>
                <c:pt idx="1">
                  <c:v>-1.0374999999985448</c:v>
                </c:pt>
                <c:pt idx="2">
                  <c:v>-1.6100000000005821</c:v>
                </c:pt>
                <c:pt idx="3">
                  <c:v>-1.6824999999953434</c:v>
                </c:pt>
                <c:pt idx="4">
                  <c:v>-3.0999999999985448</c:v>
                </c:pt>
                <c:pt idx="5">
                  <c:v>-1.1599999999962165</c:v>
                </c:pt>
                <c:pt idx="6">
                  <c:v>-1.3324999999967986</c:v>
                </c:pt>
                <c:pt idx="7">
                  <c:v>-1.805000000000291</c:v>
                </c:pt>
                <c:pt idx="8">
                  <c:v>-1.5499999999956344</c:v>
                </c:pt>
                <c:pt idx="9">
                  <c:v>-1.1224999999976717</c:v>
                </c:pt>
                <c:pt idx="10">
                  <c:v>-0.7849999999962165</c:v>
                </c:pt>
                <c:pt idx="11">
                  <c:v>-1.7299999999959255</c:v>
                </c:pt>
                <c:pt idx="12">
                  <c:v>-0.50249999999505235</c:v>
                </c:pt>
                <c:pt idx="13">
                  <c:v>-0.75499999999738066</c:v>
                </c:pt>
                <c:pt idx="14">
                  <c:v>-1.8349999999991269</c:v>
                </c:pt>
                <c:pt idx="15">
                  <c:v>-1.8799999999973807</c:v>
                </c:pt>
                <c:pt idx="16">
                  <c:v>-2.7249999999985448</c:v>
                </c:pt>
                <c:pt idx="17">
                  <c:v>-0.9699999999938882</c:v>
                </c:pt>
                <c:pt idx="18">
                  <c:v>-0.81249999999272404</c:v>
                </c:pt>
                <c:pt idx="19">
                  <c:v>-2.4999999950523488E-3</c:v>
                </c:pt>
                <c:pt idx="20">
                  <c:v>-1.2474999999976717</c:v>
                </c:pt>
                <c:pt idx="21">
                  <c:v>-2.0249999999941792</c:v>
                </c:pt>
                <c:pt idx="22">
                  <c:v>0.69500000000698492</c:v>
                </c:pt>
                <c:pt idx="23">
                  <c:v>0.96000000000640284</c:v>
                </c:pt>
                <c:pt idx="24">
                  <c:v>0</c:v>
                </c:pt>
                <c:pt idx="25">
                  <c:v>-1.8474999999962165</c:v>
                </c:pt>
                <c:pt idx="26">
                  <c:v>-2.7374999999956344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4D0-4247-8A72-2FBD8BEDED3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-63</c:v>
                </c:pt>
                <c:pt idx="1">
                  <c:v>-62.5</c:v>
                </c:pt>
                <c:pt idx="2">
                  <c:v>-62</c:v>
                </c:pt>
                <c:pt idx="3">
                  <c:v>-61.5</c:v>
                </c:pt>
                <c:pt idx="4">
                  <c:v>-60</c:v>
                </c:pt>
                <c:pt idx="5">
                  <c:v>-52</c:v>
                </c:pt>
                <c:pt idx="6">
                  <c:v>-51.5</c:v>
                </c:pt>
                <c:pt idx="7">
                  <c:v>-51</c:v>
                </c:pt>
                <c:pt idx="8">
                  <c:v>-50</c:v>
                </c:pt>
                <c:pt idx="9">
                  <c:v>-49.5</c:v>
                </c:pt>
                <c:pt idx="10">
                  <c:v>-47</c:v>
                </c:pt>
                <c:pt idx="11">
                  <c:v>-46</c:v>
                </c:pt>
                <c:pt idx="12">
                  <c:v>-45.5</c:v>
                </c:pt>
                <c:pt idx="13">
                  <c:v>-41</c:v>
                </c:pt>
                <c:pt idx="14">
                  <c:v>-37</c:v>
                </c:pt>
                <c:pt idx="15">
                  <c:v>-36</c:v>
                </c:pt>
                <c:pt idx="16">
                  <c:v>-35</c:v>
                </c:pt>
                <c:pt idx="17">
                  <c:v>-34</c:v>
                </c:pt>
                <c:pt idx="18">
                  <c:v>-27.5</c:v>
                </c:pt>
                <c:pt idx="19">
                  <c:v>-25.5</c:v>
                </c:pt>
                <c:pt idx="20">
                  <c:v>-24.5</c:v>
                </c:pt>
                <c:pt idx="21">
                  <c:v>-15</c:v>
                </c:pt>
                <c:pt idx="22">
                  <c:v>-11</c:v>
                </c:pt>
                <c:pt idx="23">
                  <c:v>-8</c:v>
                </c:pt>
                <c:pt idx="24">
                  <c:v>0</c:v>
                </c:pt>
                <c:pt idx="25">
                  <c:v>15.5</c:v>
                </c:pt>
                <c:pt idx="26">
                  <c:v>17.5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4D0-4247-8A72-2FBD8BEDED3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-63</c:v>
                </c:pt>
                <c:pt idx="1">
                  <c:v>-62.5</c:v>
                </c:pt>
                <c:pt idx="2">
                  <c:v>-62</c:v>
                </c:pt>
                <c:pt idx="3">
                  <c:v>-61.5</c:v>
                </c:pt>
                <c:pt idx="4">
                  <c:v>-60</c:v>
                </c:pt>
                <c:pt idx="5">
                  <c:v>-52</c:v>
                </c:pt>
                <c:pt idx="6">
                  <c:v>-51.5</c:v>
                </c:pt>
                <c:pt idx="7">
                  <c:v>-51</c:v>
                </c:pt>
                <c:pt idx="8">
                  <c:v>-50</c:v>
                </c:pt>
                <c:pt idx="9">
                  <c:v>-49.5</c:v>
                </c:pt>
                <c:pt idx="10">
                  <c:v>-47</c:v>
                </c:pt>
                <c:pt idx="11">
                  <c:v>-46</c:v>
                </c:pt>
                <c:pt idx="12">
                  <c:v>-45.5</c:v>
                </c:pt>
                <c:pt idx="13">
                  <c:v>-41</c:v>
                </c:pt>
                <c:pt idx="14">
                  <c:v>-37</c:v>
                </c:pt>
                <c:pt idx="15">
                  <c:v>-36</c:v>
                </c:pt>
                <c:pt idx="16">
                  <c:v>-35</c:v>
                </c:pt>
                <c:pt idx="17">
                  <c:v>-34</c:v>
                </c:pt>
                <c:pt idx="18">
                  <c:v>-27.5</c:v>
                </c:pt>
                <c:pt idx="19">
                  <c:v>-25.5</c:v>
                </c:pt>
                <c:pt idx="20">
                  <c:v>-24.5</c:v>
                </c:pt>
                <c:pt idx="21">
                  <c:v>-15</c:v>
                </c:pt>
                <c:pt idx="22">
                  <c:v>-11</c:v>
                </c:pt>
                <c:pt idx="23">
                  <c:v>-8</c:v>
                </c:pt>
                <c:pt idx="24">
                  <c:v>0</c:v>
                </c:pt>
                <c:pt idx="25">
                  <c:v>15.5</c:v>
                </c:pt>
                <c:pt idx="26">
                  <c:v>17.5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4D0-4247-8A72-2FBD8BEDED3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-63</c:v>
                </c:pt>
                <c:pt idx="1">
                  <c:v>-62.5</c:v>
                </c:pt>
                <c:pt idx="2">
                  <c:v>-62</c:v>
                </c:pt>
                <c:pt idx="3">
                  <c:v>-61.5</c:v>
                </c:pt>
                <c:pt idx="4">
                  <c:v>-60</c:v>
                </c:pt>
                <c:pt idx="5">
                  <c:v>-52</c:v>
                </c:pt>
                <c:pt idx="6">
                  <c:v>-51.5</c:v>
                </c:pt>
                <c:pt idx="7">
                  <c:v>-51</c:v>
                </c:pt>
                <c:pt idx="8">
                  <c:v>-50</c:v>
                </c:pt>
                <c:pt idx="9">
                  <c:v>-49.5</c:v>
                </c:pt>
                <c:pt idx="10">
                  <c:v>-47</c:v>
                </c:pt>
                <c:pt idx="11">
                  <c:v>-46</c:v>
                </c:pt>
                <c:pt idx="12">
                  <c:v>-45.5</c:v>
                </c:pt>
                <c:pt idx="13">
                  <c:v>-41</c:v>
                </c:pt>
                <c:pt idx="14">
                  <c:v>-37</c:v>
                </c:pt>
                <c:pt idx="15">
                  <c:v>-36</c:v>
                </c:pt>
                <c:pt idx="16">
                  <c:v>-35</c:v>
                </c:pt>
                <c:pt idx="17">
                  <c:v>-34</c:v>
                </c:pt>
                <c:pt idx="18">
                  <c:v>-27.5</c:v>
                </c:pt>
                <c:pt idx="19">
                  <c:v>-25.5</c:v>
                </c:pt>
                <c:pt idx="20">
                  <c:v>-24.5</c:v>
                </c:pt>
                <c:pt idx="21">
                  <c:v>-15</c:v>
                </c:pt>
                <c:pt idx="22">
                  <c:v>-11</c:v>
                </c:pt>
                <c:pt idx="23">
                  <c:v>-8</c:v>
                </c:pt>
                <c:pt idx="24">
                  <c:v>0</c:v>
                </c:pt>
                <c:pt idx="25">
                  <c:v>15.5</c:v>
                </c:pt>
                <c:pt idx="26">
                  <c:v>17.5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4D0-4247-8A72-2FBD8BEDED3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-63</c:v>
                </c:pt>
                <c:pt idx="1">
                  <c:v>-62.5</c:v>
                </c:pt>
                <c:pt idx="2">
                  <c:v>-62</c:v>
                </c:pt>
                <c:pt idx="3">
                  <c:v>-61.5</c:v>
                </c:pt>
                <c:pt idx="4">
                  <c:v>-60</c:v>
                </c:pt>
                <c:pt idx="5">
                  <c:v>-52</c:v>
                </c:pt>
                <c:pt idx="6">
                  <c:v>-51.5</c:v>
                </c:pt>
                <c:pt idx="7">
                  <c:v>-51</c:v>
                </c:pt>
                <c:pt idx="8">
                  <c:v>-50</c:v>
                </c:pt>
                <c:pt idx="9">
                  <c:v>-49.5</c:v>
                </c:pt>
                <c:pt idx="10">
                  <c:v>-47</c:v>
                </c:pt>
                <c:pt idx="11">
                  <c:v>-46</c:v>
                </c:pt>
                <c:pt idx="12">
                  <c:v>-45.5</c:v>
                </c:pt>
                <c:pt idx="13">
                  <c:v>-41</c:v>
                </c:pt>
                <c:pt idx="14">
                  <c:v>-37</c:v>
                </c:pt>
                <c:pt idx="15">
                  <c:v>-36</c:v>
                </c:pt>
                <c:pt idx="16">
                  <c:v>-35</c:v>
                </c:pt>
                <c:pt idx="17">
                  <c:v>-34</c:v>
                </c:pt>
                <c:pt idx="18">
                  <c:v>-27.5</c:v>
                </c:pt>
                <c:pt idx="19">
                  <c:v>-25.5</c:v>
                </c:pt>
                <c:pt idx="20">
                  <c:v>-24.5</c:v>
                </c:pt>
                <c:pt idx="21">
                  <c:v>-15</c:v>
                </c:pt>
                <c:pt idx="22">
                  <c:v>-11</c:v>
                </c:pt>
                <c:pt idx="23">
                  <c:v>-8</c:v>
                </c:pt>
                <c:pt idx="24">
                  <c:v>0</c:v>
                </c:pt>
                <c:pt idx="25">
                  <c:v>15.5</c:v>
                </c:pt>
                <c:pt idx="26">
                  <c:v>17.5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4D0-4247-8A72-2FBD8BEDED3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-63</c:v>
                </c:pt>
                <c:pt idx="1">
                  <c:v>-62.5</c:v>
                </c:pt>
                <c:pt idx="2">
                  <c:v>-62</c:v>
                </c:pt>
                <c:pt idx="3">
                  <c:v>-61.5</c:v>
                </c:pt>
                <c:pt idx="4">
                  <c:v>-60</c:v>
                </c:pt>
                <c:pt idx="5">
                  <c:v>-52</c:v>
                </c:pt>
                <c:pt idx="6">
                  <c:v>-51.5</c:v>
                </c:pt>
                <c:pt idx="7">
                  <c:v>-51</c:v>
                </c:pt>
                <c:pt idx="8">
                  <c:v>-50</c:v>
                </c:pt>
                <c:pt idx="9">
                  <c:v>-49.5</c:v>
                </c:pt>
                <c:pt idx="10">
                  <c:v>-47</c:v>
                </c:pt>
                <c:pt idx="11">
                  <c:v>-46</c:v>
                </c:pt>
                <c:pt idx="12">
                  <c:v>-45.5</c:v>
                </c:pt>
                <c:pt idx="13">
                  <c:v>-41</c:v>
                </c:pt>
                <c:pt idx="14">
                  <c:v>-37</c:v>
                </c:pt>
                <c:pt idx="15">
                  <c:v>-36</c:v>
                </c:pt>
                <c:pt idx="16">
                  <c:v>-35</c:v>
                </c:pt>
                <c:pt idx="17">
                  <c:v>-34</c:v>
                </c:pt>
                <c:pt idx="18">
                  <c:v>-27.5</c:v>
                </c:pt>
                <c:pt idx="19">
                  <c:v>-25.5</c:v>
                </c:pt>
                <c:pt idx="20">
                  <c:v>-24.5</c:v>
                </c:pt>
                <c:pt idx="21">
                  <c:v>-15</c:v>
                </c:pt>
                <c:pt idx="22">
                  <c:v>-11</c:v>
                </c:pt>
                <c:pt idx="23">
                  <c:v>-8</c:v>
                </c:pt>
                <c:pt idx="24">
                  <c:v>0</c:v>
                </c:pt>
                <c:pt idx="25">
                  <c:v>15.5</c:v>
                </c:pt>
                <c:pt idx="26">
                  <c:v>17.5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4D0-4247-8A72-2FBD8BEDED3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-63</c:v>
                </c:pt>
                <c:pt idx="1">
                  <c:v>-62.5</c:v>
                </c:pt>
                <c:pt idx="2">
                  <c:v>-62</c:v>
                </c:pt>
                <c:pt idx="3">
                  <c:v>-61.5</c:v>
                </c:pt>
                <c:pt idx="4">
                  <c:v>-60</c:v>
                </c:pt>
                <c:pt idx="5">
                  <c:v>-52</c:v>
                </c:pt>
                <c:pt idx="6">
                  <c:v>-51.5</c:v>
                </c:pt>
                <c:pt idx="7">
                  <c:v>-51</c:v>
                </c:pt>
                <c:pt idx="8">
                  <c:v>-50</c:v>
                </c:pt>
                <c:pt idx="9">
                  <c:v>-49.5</c:v>
                </c:pt>
                <c:pt idx="10">
                  <c:v>-47</c:v>
                </c:pt>
                <c:pt idx="11">
                  <c:v>-46</c:v>
                </c:pt>
                <c:pt idx="12">
                  <c:v>-45.5</c:v>
                </c:pt>
                <c:pt idx="13">
                  <c:v>-41</c:v>
                </c:pt>
                <c:pt idx="14">
                  <c:v>-37</c:v>
                </c:pt>
                <c:pt idx="15">
                  <c:v>-36</c:v>
                </c:pt>
                <c:pt idx="16">
                  <c:v>-35</c:v>
                </c:pt>
                <c:pt idx="17">
                  <c:v>-34</c:v>
                </c:pt>
                <c:pt idx="18">
                  <c:v>-27.5</c:v>
                </c:pt>
                <c:pt idx="19">
                  <c:v>-25.5</c:v>
                </c:pt>
                <c:pt idx="20">
                  <c:v>-24.5</c:v>
                </c:pt>
                <c:pt idx="21">
                  <c:v>-15</c:v>
                </c:pt>
                <c:pt idx="22">
                  <c:v>-11</c:v>
                </c:pt>
                <c:pt idx="23">
                  <c:v>-8</c:v>
                </c:pt>
                <c:pt idx="24">
                  <c:v>0</c:v>
                </c:pt>
                <c:pt idx="25">
                  <c:v>15.5</c:v>
                </c:pt>
                <c:pt idx="26">
                  <c:v>17.5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-1.5650278838552121</c:v>
                </c:pt>
                <c:pt idx="1">
                  <c:v>-1.5600883493943845</c:v>
                </c:pt>
                <c:pt idx="2">
                  <c:v>-1.5551488149335571</c:v>
                </c:pt>
                <c:pt idx="3">
                  <c:v>-1.5502092804727292</c:v>
                </c:pt>
                <c:pt idx="4">
                  <c:v>-1.5353906770902466</c:v>
                </c:pt>
                <c:pt idx="5">
                  <c:v>-1.4563581257170051</c:v>
                </c:pt>
                <c:pt idx="6">
                  <c:v>-1.4514185912561772</c:v>
                </c:pt>
                <c:pt idx="7">
                  <c:v>-1.4464790567953498</c:v>
                </c:pt>
                <c:pt idx="8">
                  <c:v>-1.4365999878736946</c:v>
                </c:pt>
                <c:pt idx="9">
                  <c:v>-1.431660453412867</c:v>
                </c:pt>
                <c:pt idx="10">
                  <c:v>-1.4069627811087291</c:v>
                </c:pt>
                <c:pt idx="11">
                  <c:v>-1.3970837121870738</c:v>
                </c:pt>
                <c:pt idx="12">
                  <c:v>-1.3921441777262462</c:v>
                </c:pt>
                <c:pt idx="13">
                  <c:v>-1.3476883675787978</c:v>
                </c:pt>
                <c:pt idx="14">
                  <c:v>-1.3081720918921771</c:v>
                </c:pt>
                <c:pt idx="15">
                  <c:v>-1.2982930229705218</c:v>
                </c:pt>
                <c:pt idx="16">
                  <c:v>-1.2884139540488666</c:v>
                </c:pt>
                <c:pt idx="17">
                  <c:v>-1.2785348851272116</c:v>
                </c:pt>
                <c:pt idx="18">
                  <c:v>-1.2143209371364527</c:v>
                </c:pt>
                <c:pt idx="19">
                  <c:v>-1.1945627992931422</c:v>
                </c:pt>
                <c:pt idx="20">
                  <c:v>-1.1846837303714872</c:v>
                </c:pt>
                <c:pt idx="21">
                  <c:v>-1.0908325756157629</c:v>
                </c:pt>
                <c:pt idx="22">
                  <c:v>-1.0513162999291421</c:v>
                </c:pt>
                <c:pt idx="23">
                  <c:v>-1.0216790931641764</c:v>
                </c:pt>
                <c:pt idx="24">
                  <c:v>-0.94264654179093488</c:v>
                </c:pt>
                <c:pt idx="25">
                  <c:v>-0.78952097350527939</c:v>
                </c:pt>
                <c:pt idx="26">
                  <c:v>-0.76976283566196901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4D0-4247-8A72-2FBD8BEDED3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-63</c:v>
                </c:pt>
                <c:pt idx="1">
                  <c:v>-62.5</c:v>
                </c:pt>
                <c:pt idx="2">
                  <c:v>-62</c:v>
                </c:pt>
                <c:pt idx="3">
                  <c:v>-61.5</c:v>
                </c:pt>
                <c:pt idx="4">
                  <c:v>-60</c:v>
                </c:pt>
                <c:pt idx="5">
                  <c:v>-52</c:v>
                </c:pt>
                <c:pt idx="6">
                  <c:v>-51.5</c:v>
                </c:pt>
                <c:pt idx="7">
                  <c:v>-51</c:v>
                </c:pt>
                <c:pt idx="8">
                  <c:v>-50</c:v>
                </c:pt>
                <c:pt idx="9">
                  <c:v>-49.5</c:v>
                </c:pt>
                <c:pt idx="10">
                  <c:v>-47</c:v>
                </c:pt>
                <c:pt idx="11">
                  <c:v>-46</c:v>
                </c:pt>
                <c:pt idx="12">
                  <c:v>-45.5</c:v>
                </c:pt>
                <c:pt idx="13">
                  <c:v>-41</c:v>
                </c:pt>
                <c:pt idx="14">
                  <c:v>-37</c:v>
                </c:pt>
                <c:pt idx="15">
                  <c:v>-36</c:v>
                </c:pt>
                <c:pt idx="16">
                  <c:v>-35</c:v>
                </c:pt>
                <c:pt idx="17">
                  <c:v>-34</c:v>
                </c:pt>
                <c:pt idx="18">
                  <c:v>-27.5</c:v>
                </c:pt>
                <c:pt idx="19">
                  <c:v>-25.5</c:v>
                </c:pt>
                <c:pt idx="20">
                  <c:v>-24.5</c:v>
                </c:pt>
                <c:pt idx="21">
                  <c:v>-15</c:v>
                </c:pt>
                <c:pt idx="22">
                  <c:v>-11</c:v>
                </c:pt>
                <c:pt idx="23">
                  <c:v>-8</c:v>
                </c:pt>
                <c:pt idx="24">
                  <c:v>0</c:v>
                </c:pt>
                <c:pt idx="25">
                  <c:v>15.5</c:v>
                </c:pt>
                <c:pt idx="26">
                  <c:v>17.5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4D0-4247-8A72-2FBD8BEDE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6448768"/>
        <c:axId val="1"/>
      </c:scatterChart>
      <c:valAx>
        <c:axId val="736448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4487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5338345864661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7CC6394-3794-B769-1062-855E82CB7F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1" topLeftCell="O28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style="3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50</v>
      </c>
      <c r="F1" s="48" t="s">
        <v>49</v>
      </c>
      <c r="G1" s="49">
        <v>20.4237</v>
      </c>
      <c r="H1" s="50">
        <v>38.27252</v>
      </c>
      <c r="I1" s="51">
        <v>47334.2</v>
      </c>
      <c r="J1" s="51">
        <v>28.145</v>
      </c>
      <c r="K1" s="52" t="s">
        <v>13</v>
      </c>
      <c r="L1" s="31"/>
      <c r="M1" s="32">
        <v>47334.2</v>
      </c>
      <c r="N1" s="32">
        <v>28.145</v>
      </c>
      <c r="O1" s="35" t="s">
        <v>13</v>
      </c>
    </row>
    <row r="2" spans="1:15" x14ac:dyDescent="0.2">
      <c r="A2" t="s">
        <v>23</v>
      </c>
      <c r="B2" s="3" t="s">
        <v>13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55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57">
        <v>47334.2</v>
      </c>
      <c r="D7" s="29" t="s">
        <v>51</v>
      </c>
    </row>
    <row r="8" spans="1:15" x14ac:dyDescent="0.2">
      <c r="A8" t="s">
        <v>3</v>
      </c>
      <c r="C8" s="57">
        <v>28.145</v>
      </c>
      <c r="D8" s="29" t="s">
        <v>51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55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55"/>
      <c r="C11" s="21">
        <f ca="1">INTERCEPT(INDIRECT($E$9):G992,INDIRECT($D$9):F992)</f>
        <v>-0.94264654179093488</v>
      </c>
      <c r="D11" s="3"/>
      <c r="E11" s="10"/>
    </row>
    <row r="12" spans="1:15" x14ac:dyDescent="0.2">
      <c r="A12" s="10" t="s">
        <v>16</v>
      </c>
      <c r="B12" s="55"/>
      <c r="C12" s="21">
        <f ca="1">SLOPE(INDIRECT($E$9):G992,INDIRECT($D$9):F992)</f>
        <v>9.8790689216551944E-3</v>
      </c>
      <c r="D12" s="3"/>
      <c r="E12" s="10"/>
    </row>
    <row r="13" spans="1:15" x14ac:dyDescent="0.2">
      <c r="A13" s="10" t="s">
        <v>18</v>
      </c>
      <c r="B13" s="55"/>
      <c r="C13" s="3" t="s">
        <v>13</v>
      </c>
    </row>
    <row r="14" spans="1:15" x14ac:dyDescent="0.2">
      <c r="A14" s="10"/>
      <c r="B14" s="55"/>
      <c r="C14" s="10"/>
    </row>
    <row r="15" spans="1:15" x14ac:dyDescent="0.2">
      <c r="A15" s="12" t="s">
        <v>17</v>
      </c>
      <c r="B15" s="55"/>
      <c r="C15" s="13">
        <f ca="1">(C7+C11)+(C8+C12)*INT(MAX(F21:F3533))</f>
        <v>47811.89029762987</v>
      </c>
      <c r="E15" s="14" t="s">
        <v>34</v>
      </c>
      <c r="F15" s="33">
        <v>1</v>
      </c>
    </row>
    <row r="16" spans="1:15" x14ac:dyDescent="0.2">
      <c r="A16" s="16" t="s">
        <v>4</v>
      </c>
      <c r="B16" s="55"/>
      <c r="C16" s="17">
        <f ca="1">+C8+C12</f>
        <v>28.154879068921655</v>
      </c>
      <c r="E16" s="14" t="s">
        <v>30</v>
      </c>
      <c r="F16" s="34">
        <f ca="1">NOW()+15018.5+$C$5/24</f>
        <v>60344.753445254624</v>
      </c>
    </row>
    <row r="17" spans="1:18" ht="13.5" thickBot="1" x14ac:dyDescent="0.25">
      <c r="A17" s="14" t="s">
        <v>27</v>
      </c>
      <c r="B17" s="55"/>
      <c r="C17" s="10">
        <f>COUNT(C21:C2191)</f>
        <v>27</v>
      </c>
      <c r="E17" s="14" t="s">
        <v>35</v>
      </c>
      <c r="F17" s="15">
        <f ca="1">ROUND(2*(F16-$C$7)/$C$8,0)/2+F15</f>
        <v>463.5</v>
      </c>
    </row>
    <row r="18" spans="1:18" ht="14.25" thickTop="1" thickBot="1" x14ac:dyDescent="0.25">
      <c r="A18" s="16" t="s">
        <v>5</v>
      </c>
      <c r="B18" s="55"/>
      <c r="C18" s="19">
        <f ca="1">+C15</f>
        <v>47811.89029762987</v>
      </c>
      <c r="D18" s="20">
        <f ca="1">+C16</f>
        <v>28.154879068921655</v>
      </c>
      <c r="E18" s="14" t="s">
        <v>36</v>
      </c>
      <c r="F18" s="23">
        <f ca="1">ROUND(2*(F16-$C$15)/$C$16,0)/2+F15</f>
        <v>446</v>
      </c>
    </row>
    <row r="19" spans="1:18" ht="13.5" thickTop="1" x14ac:dyDescent="0.2">
      <c r="E19" s="14" t="s">
        <v>31</v>
      </c>
      <c r="F19" s="18">
        <f ca="1">+$C$15+$C$16*F18-15018.5-$C$5/24</f>
        <v>45350.862195702262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 x14ac:dyDescent="0.2">
      <c r="A21" s="53" t="s">
        <v>57</v>
      </c>
      <c r="B21" s="56" t="s">
        <v>132</v>
      </c>
      <c r="C21" s="54">
        <v>45558.7</v>
      </c>
      <c r="D21" s="54" t="s">
        <v>39</v>
      </c>
      <c r="E21">
        <f t="shared" ref="E21:E47" si="0">+(C21-C$7)/C$8</f>
        <v>-63.084029134837451</v>
      </c>
      <c r="F21">
        <f t="shared" ref="F21:F47" si="1">ROUND(2*E21,0)/2</f>
        <v>-63</v>
      </c>
      <c r="G21">
        <f t="shared" ref="G21:G47" si="2">+C21-(C$7+F21*C$8)</f>
        <v>-2.3649999999979627</v>
      </c>
      <c r="I21">
        <f t="shared" ref="I21:I47" si="3">+G21</f>
        <v>-2.3649999999979627</v>
      </c>
      <c r="O21">
        <f t="shared" ref="O21:O47" ca="1" si="4">+C$11+C$12*$F21</f>
        <v>-1.5650278838552121</v>
      </c>
      <c r="Q21" s="2">
        <f t="shared" ref="Q21:Q47" si="5">+C21-15018.5</f>
        <v>30540.199999999997</v>
      </c>
    </row>
    <row r="22" spans="1:18" x14ac:dyDescent="0.2">
      <c r="A22" s="53" t="s">
        <v>57</v>
      </c>
      <c r="B22" s="56" t="s">
        <v>133</v>
      </c>
      <c r="C22" s="54">
        <v>45574.1</v>
      </c>
      <c r="D22" s="54" t="s">
        <v>39</v>
      </c>
      <c r="E22">
        <f t="shared" si="0"/>
        <v>-62.536862675430754</v>
      </c>
      <c r="F22">
        <f t="shared" si="1"/>
        <v>-62.5</v>
      </c>
      <c r="G22">
        <f t="shared" si="2"/>
        <v>-1.0374999999985448</v>
      </c>
      <c r="I22">
        <f t="shared" si="3"/>
        <v>-1.0374999999985448</v>
      </c>
      <c r="O22">
        <f t="shared" ca="1" si="4"/>
        <v>-1.5600883493943845</v>
      </c>
      <c r="Q22" s="2">
        <f t="shared" si="5"/>
        <v>30555.599999999999</v>
      </c>
    </row>
    <row r="23" spans="1:18" x14ac:dyDescent="0.2">
      <c r="A23" s="53" t="s">
        <v>57</v>
      </c>
      <c r="B23" s="56" t="s">
        <v>132</v>
      </c>
      <c r="C23" s="54">
        <v>45587.6</v>
      </c>
      <c r="D23" s="54" t="s">
        <v>39</v>
      </c>
      <c r="E23">
        <f t="shared" si="0"/>
        <v>-62.057203766210641</v>
      </c>
      <c r="F23">
        <f t="shared" si="1"/>
        <v>-62</v>
      </c>
      <c r="G23">
        <f t="shared" si="2"/>
        <v>-1.6100000000005821</v>
      </c>
      <c r="I23">
        <f t="shared" si="3"/>
        <v>-1.6100000000005821</v>
      </c>
      <c r="O23">
        <f t="shared" ca="1" si="4"/>
        <v>-1.5551488149335571</v>
      </c>
      <c r="Q23" s="2">
        <f t="shared" si="5"/>
        <v>30569.1</v>
      </c>
    </row>
    <row r="24" spans="1:18" x14ac:dyDescent="0.2">
      <c r="A24" s="53" t="s">
        <v>57</v>
      </c>
      <c r="B24" s="56" t="s">
        <v>132</v>
      </c>
      <c r="C24" s="54">
        <v>45601.599999999999</v>
      </c>
      <c r="D24" s="54" t="s">
        <v>39</v>
      </c>
      <c r="E24">
        <f t="shared" si="0"/>
        <v>-61.559779712204602</v>
      </c>
      <c r="F24">
        <f t="shared" si="1"/>
        <v>-61.5</v>
      </c>
      <c r="G24">
        <f t="shared" si="2"/>
        <v>-1.6824999999953434</v>
      </c>
      <c r="I24">
        <f t="shared" si="3"/>
        <v>-1.6824999999953434</v>
      </c>
      <c r="O24">
        <f t="shared" ca="1" si="4"/>
        <v>-1.5502092804727292</v>
      </c>
      <c r="Q24" s="2">
        <f t="shared" si="5"/>
        <v>30583.1</v>
      </c>
    </row>
    <row r="25" spans="1:18" x14ac:dyDescent="0.2">
      <c r="A25" s="53" t="s">
        <v>68</v>
      </c>
      <c r="B25" s="56" t="s">
        <v>132</v>
      </c>
      <c r="C25" s="54">
        <v>45642.400000000001</v>
      </c>
      <c r="D25" s="54" t="s">
        <v>39</v>
      </c>
      <c r="E25">
        <f t="shared" si="0"/>
        <v>-60.110143897672614</v>
      </c>
      <c r="F25">
        <f t="shared" si="1"/>
        <v>-60</v>
      </c>
      <c r="G25">
        <f t="shared" si="2"/>
        <v>-3.0999999999985448</v>
      </c>
      <c r="I25">
        <f t="shared" si="3"/>
        <v>-3.0999999999985448</v>
      </c>
      <c r="O25">
        <f t="shared" ca="1" si="4"/>
        <v>-1.5353906770902466</v>
      </c>
      <c r="Q25" s="2">
        <f t="shared" si="5"/>
        <v>30623.9</v>
      </c>
    </row>
    <row r="26" spans="1:18" x14ac:dyDescent="0.2">
      <c r="A26" s="53" t="s">
        <v>72</v>
      </c>
      <c r="B26" s="56" t="s">
        <v>132</v>
      </c>
      <c r="C26" s="54">
        <v>45869.5</v>
      </c>
      <c r="D26" s="54" t="s">
        <v>39</v>
      </c>
      <c r="E26">
        <f t="shared" si="0"/>
        <v>-52.041215135903258</v>
      </c>
      <c r="F26">
        <f t="shared" si="1"/>
        <v>-52</v>
      </c>
      <c r="G26">
        <f t="shared" si="2"/>
        <v>-1.1599999999962165</v>
      </c>
      <c r="I26">
        <f t="shared" si="3"/>
        <v>-1.1599999999962165</v>
      </c>
      <c r="O26">
        <f t="shared" ca="1" si="4"/>
        <v>-1.4563581257170051</v>
      </c>
      <c r="Q26" s="2">
        <f t="shared" si="5"/>
        <v>30851</v>
      </c>
    </row>
    <row r="27" spans="1:18" x14ac:dyDescent="0.2">
      <c r="A27" s="53" t="s">
        <v>75</v>
      </c>
      <c r="B27" s="56" t="s">
        <v>132</v>
      </c>
      <c r="C27" s="54">
        <v>45883.4</v>
      </c>
      <c r="D27" s="54" t="s">
        <v>39</v>
      </c>
      <c r="E27">
        <f t="shared" si="0"/>
        <v>-51.547344110854347</v>
      </c>
      <c r="F27">
        <f t="shared" si="1"/>
        <v>-51.5</v>
      </c>
      <c r="G27">
        <f t="shared" si="2"/>
        <v>-1.3324999999967986</v>
      </c>
      <c r="I27">
        <f t="shared" si="3"/>
        <v>-1.3324999999967986</v>
      </c>
      <c r="O27">
        <f t="shared" ca="1" si="4"/>
        <v>-1.4514185912561772</v>
      </c>
      <c r="Q27" s="2">
        <f t="shared" si="5"/>
        <v>30864.9</v>
      </c>
    </row>
    <row r="28" spans="1:18" x14ac:dyDescent="0.2">
      <c r="A28" s="53" t="s">
        <v>75</v>
      </c>
      <c r="B28" s="56" t="s">
        <v>133</v>
      </c>
      <c r="C28" s="54">
        <v>45897</v>
      </c>
      <c r="D28" s="54" t="s">
        <v>39</v>
      </c>
      <c r="E28">
        <f t="shared" si="0"/>
        <v>-51.064132172677105</v>
      </c>
      <c r="F28">
        <f t="shared" si="1"/>
        <v>-51</v>
      </c>
      <c r="G28">
        <f t="shared" si="2"/>
        <v>-1.805000000000291</v>
      </c>
      <c r="I28">
        <f t="shared" si="3"/>
        <v>-1.805000000000291</v>
      </c>
      <c r="O28">
        <f t="shared" ca="1" si="4"/>
        <v>-1.4464790567953498</v>
      </c>
      <c r="Q28" s="2">
        <f t="shared" si="5"/>
        <v>30878.5</v>
      </c>
    </row>
    <row r="29" spans="1:18" x14ac:dyDescent="0.2">
      <c r="A29" s="53" t="s">
        <v>75</v>
      </c>
      <c r="B29" s="56" t="s">
        <v>132</v>
      </c>
      <c r="C29" s="54">
        <v>45925.4</v>
      </c>
      <c r="D29" s="54" t="s">
        <v>39</v>
      </c>
      <c r="E29">
        <f t="shared" si="0"/>
        <v>-50.055071948836229</v>
      </c>
      <c r="F29">
        <f t="shared" si="1"/>
        <v>-50</v>
      </c>
      <c r="G29">
        <f t="shared" si="2"/>
        <v>-1.5499999999956344</v>
      </c>
      <c r="I29">
        <f t="shared" si="3"/>
        <v>-1.5499999999956344</v>
      </c>
      <c r="O29">
        <f t="shared" ca="1" si="4"/>
        <v>-1.4365999878736946</v>
      </c>
      <c r="Q29" s="2">
        <f t="shared" si="5"/>
        <v>30906.9</v>
      </c>
    </row>
    <row r="30" spans="1:18" x14ac:dyDescent="0.2">
      <c r="A30" s="53" t="s">
        <v>75</v>
      </c>
      <c r="B30" s="56" t="s">
        <v>133</v>
      </c>
      <c r="C30" s="54">
        <v>45939.9</v>
      </c>
      <c r="D30" s="54" t="s">
        <v>39</v>
      </c>
      <c r="E30">
        <f t="shared" si="0"/>
        <v>-49.539882750044256</v>
      </c>
      <c r="F30">
        <f t="shared" si="1"/>
        <v>-49.5</v>
      </c>
      <c r="G30">
        <f t="shared" si="2"/>
        <v>-1.1224999999976717</v>
      </c>
      <c r="I30">
        <f t="shared" si="3"/>
        <v>-1.1224999999976717</v>
      </c>
      <c r="O30">
        <f t="shared" ca="1" si="4"/>
        <v>-1.431660453412867</v>
      </c>
      <c r="Q30" s="2">
        <f t="shared" si="5"/>
        <v>30921.4</v>
      </c>
    </row>
    <row r="31" spans="1:18" x14ac:dyDescent="0.2">
      <c r="A31" s="53" t="s">
        <v>84</v>
      </c>
      <c r="B31" s="56" t="s">
        <v>132</v>
      </c>
      <c r="C31" s="54">
        <v>46010.6</v>
      </c>
      <c r="D31" s="54" t="s">
        <v>39</v>
      </c>
      <c r="E31">
        <f t="shared" si="0"/>
        <v>-47.027891277313856</v>
      </c>
      <c r="F31">
        <f t="shared" si="1"/>
        <v>-47</v>
      </c>
      <c r="G31">
        <f t="shared" si="2"/>
        <v>-0.7849999999962165</v>
      </c>
      <c r="I31">
        <f t="shared" si="3"/>
        <v>-0.7849999999962165</v>
      </c>
      <c r="O31">
        <f t="shared" ca="1" si="4"/>
        <v>-1.4069627811087291</v>
      </c>
      <c r="Q31" s="2">
        <f t="shared" si="5"/>
        <v>30992.1</v>
      </c>
    </row>
    <row r="32" spans="1:18" x14ac:dyDescent="0.2">
      <c r="A32" s="53" t="s">
        <v>88</v>
      </c>
      <c r="B32" s="56" t="s">
        <v>133</v>
      </c>
      <c r="C32" s="54">
        <v>46037.8</v>
      </c>
      <c r="D32" s="54" t="s">
        <v>39</v>
      </c>
      <c r="E32">
        <f t="shared" si="0"/>
        <v>-46.06146740095911</v>
      </c>
      <c r="F32">
        <f t="shared" si="1"/>
        <v>-46</v>
      </c>
      <c r="G32">
        <f t="shared" si="2"/>
        <v>-1.7299999999959255</v>
      </c>
      <c r="I32">
        <f t="shared" si="3"/>
        <v>-1.7299999999959255</v>
      </c>
      <c r="O32">
        <f t="shared" ca="1" si="4"/>
        <v>-1.3970837121870738</v>
      </c>
      <c r="Q32" s="2">
        <f t="shared" si="5"/>
        <v>31019.300000000003</v>
      </c>
    </row>
    <row r="33" spans="1:17" x14ac:dyDescent="0.2">
      <c r="A33" s="53" t="s">
        <v>88</v>
      </c>
      <c r="B33" s="56" t="s">
        <v>132</v>
      </c>
      <c r="C33" s="54">
        <v>46053.1</v>
      </c>
      <c r="D33" s="54" t="s">
        <v>39</v>
      </c>
      <c r="E33">
        <f t="shared" si="0"/>
        <v>-45.517853970509812</v>
      </c>
      <c r="F33">
        <f t="shared" si="1"/>
        <v>-45.5</v>
      </c>
      <c r="G33">
        <f t="shared" si="2"/>
        <v>-0.50249999999505235</v>
      </c>
      <c r="I33">
        <f t="shared" si="3"/>
        <v>-0.50249999999505235</v>
      </c>
      <c r="O33">
        <f t="shared" ca="1" si="4"/>
        <v>-1.3921441777262462</v>
      </c>
      <c r="Q33" s="2">
        <f t="shared" si="5"/>
        <v>31034.6</v>
      </c>
    </row>
    <row r="34" spans="1:17" x14ac:dyDescent="0.2">
      <c r="A34" s="53" t="s">
        <v>88</v>
      </c>
      <c r="B34" s="56" t="s">
        <v>133</v>
      </c>
      <c r="C34" s="54">
        <v>46179.5</v>
      </c>
      <c r="D34" s="54" t="s">
        <v>39</v>
      </c>
      <c r="E34">
        <f t="shared" si="0"/>
        <v>-41.026825368626653</v>
      </c>
      <c r="F34">
        <f t="shared" si="1"/>
        <v>-41</v>
      </c>
      <c r="G34">
        <f t="shared" si="2"/>
        <v>-0.75499999999738066</v>
      </c>
      <c r="I34">
        <f t="shared" si="3"/>
        <v>-0.75499999999738066</v>
      </c>
      <c r="O34">
        <f t="shared" ca="1" si="4"/>
        <v>-1.3476883675787978</v>
      </c>
      <c r="Q34" s="2">
        <f t="shared" si="5"/>
        <v>31161</v>
      </c>
    </row>
    <row r="35" spans="1:17" x14ac:dyDescent="0.2">
      <c r="A35" s="53" t="s">
        <v>97</v>
      </c>
      <c r="B35" s="56" t="s">
        <v>132</v>
      </c>
      <c r="C35" s="54">
        <v>46291</v>
      </c>
      <c r="D35" s="54" t="s">
        <v>39</v>
      </c>
      <c r="E35">
        <f t="shared" si="0"/>
        <v>-37.065198081364258</v>
      </c>
      <c r="F35">
        <f t="shared" si="1"/>
        <v>-37</v>
      </c>
      <c r="G35">
        <f t="shared" si="2"/>
        <v>-1.8349999999991269</v>
      </c>
      <c r="I35">
        <f t="shared" si="3"/>
        <v>-1.8349999999991269</v>
      </c>
      <c r="O35">
        <f t="shared" ca="1" si="4"/>
        <v>-1.3081720918921771</v>
      </c>
      <c r="Q35" s="2">
        <f t="shared" si="5"/>
        <v>31272.5</v>
      </c>
    </row>
    <row r="36" spans="1:17" x14ac:dyDescent="0.2">
      <c r="A36" s="53" t="s">
        <v>97</v>
      </c>
      <c r="B36" s="56" t="s">
        <v>132</v>
      </c>
      <c r="C36" s="54">
        <v>46319.1</v>
      </c>
      <c r="D36" s="54" t="s">
        <v>39</v>
      </c>
      <c r="E36">
        <f t="shared" si="0"/>
        <v>-36.066796944395044</v>
      </c>
      <c r="F36">
        <f t="shared" si="1"/>
        <v>-36</v>
      </c>
      <c r="G36">
        <f t="shared" si="2"/>
        <v>-1.8799999999973807</v>
      </c>
      <c r="I36">
        <f t="shared" si="3"/>
        <v>-1.8799999999973807</v>
      </c>
      <c r="O36">
        <f t="shared" ca="1" si="4"/>
        <v>-1.2982930229705218</v>
      </c>
      <c r="Q36" s="2">
        <f t="shared" si="5"/>
        <v>31300.6</v>
      </c>
    </row>
    <row r="37" spans="1:17" x14ac:dyDescent="0.2">
      <c r="A37" s="53" t="s">
        <v>97</v>
      </c>
      <c r="B37" s="56" t="s">
        <v>132</v>
      </c>
      <c r="C37" s="54">
        <v>46346.400000000001</v>
      </c>
      <c r="D37" s="54" t="s">
        <v>39</v>
      </c>
      <c r="E37">
        <f t="shared" si="0"/>
        <v>-35.096820039083163</v>
      </c>
      <c r="F37">
        <f t="shared" si="1"/>
        <v>-35</v>
      </c>
      <c r="G37">
        <f t="shared" si="2"/>
        <v>-2.7249999999985448</v>
      </c>
      <c r="I37">
        <f t="shared" si="3"/>
        <v>-2.7249999999985448</v>
      </c>
      <c r="O37">
        <f t="shared" ca="1" si="4"/>
        <v>-1.2884139540488666</v>
      </c>
      <c r="Q37" s="2">
        <f t="shared" si="5"/>
        <v>31327.9</v>
      </c>
    </row>
    <row r="38" spans="1:17" x14ac:dyDescent="0.2">
      <c r="A38" s="53" t="s">
        <v>104</v>
      </c>
      <c r="B38" s="56" t="s">
        <v>132</v>
      </c>
      <c r="C38" s="54">
        <v>46376.3</v>
      </c>
      <c r="D38" s="54" t="s">
        <v>39</v>
      </c>
      <c r="E38">
        <f t="shared" si="0"/>
        <v>-34.034464380884501</v>
      </c>
      <c r="F38">
        <f t="shared" si="1"/>
        <v>-34</v>
      </c>
      <c r="G38">
        <f t="shared" si="2"/>
        <v>-0.9699999999938882</v>
      </c>
      <c r="I38">
        <f t="shared" si="3"/>
        <v>-0.9699999999938882</v>
      </c>
      <c r="O38">
        <f t="shared" ca="1" si="4"/>
        <v>-1.2785348851272116</v>
      </c>
      <c r="Q38" s="2">
        <f t="shared" si="5"/>
        <v>31357.800000000003</v>
      </c>
    </row>
    <row r="39" spans="1:17" x14ac:dyDescent="0.2">
      <c r="A39" s="53" t="s">
        <v>107</v>
      </c>
      <c r="B39" s="56" t="s">
        <v>132</v>
      </c>
      <c r="C39" s="54">
        <v>46559.4</v>
      </c>
      <c r="D39" s="54" t="s">
        <v>39</v>
      </c>
      <c r="E39">
        <f t="shared" si="0"/>
        <v>-27.528868360276981</v>
      </c>
      <c r="F39">
        <f t="shared" si="1"/>
        <v>-27.5</v>
      </c>
      <c r="G39">
        <f t="shared" si="2"/>
        <v>-0.81249999999272404</v>
      </c>
      <c r="I39">
        <f t="shared" si="3"/>
        <v>-0.81249999999272404</v>
      </c>
      <c r="O39">
        <f t="shared" ca="1" si="4"/>
        <v>-1.2143209371364527</v>
      </c>
      <c r="Q39" s="2">
        <f t="shared" si="5"/>
        <v>31540.9</v>
      </c>
    </row>
    <row r="40" spans="1:17" x14ac:dyDescent="0.2">
      <c r="A40" s="53" t="s">
        <v>107</v>
      </c>
      <c r="B40" s="56" t="s">
        <v>132</v>
      </c>
      <c r="C40" s="54">
        <v>46616.5</v>
      </c>
      <c r="D40" s="54" t="s">
        <v>39</v>
      </c>
      <c r="E40">
        <f t="shared" si="0"/>
        <v>-25.500088825723825</v>
      </c>
      <c r="F40">
        <f t="shared" si="1"/>
        <v>-25.5</v>
      </c>
      <c r="G40">
        <f t="shared" si="2"/>
        <v>-2.4999999950523488E-3</v>
      </c>
      <c r="I40">
        <f t="shared" si="3"/>
        <v>-2.4999999950523488E-3</v>
      </c>
      <c r="O40">
        <f t="shared" ca="1" si="4"/>
        <v>-1.1945627992931422</v>
      </c>
      <c r="Q40" s="2">
        <f t="shared" si="5"/>
        <v>31598</v>
      </c>
    </row>
    <row r="41" spans="1:17" x14ac:dyDescent="0.2">
      <c r="A41" s="53" t="s">
        <v>112</v>
      </c>
      <c r="B41" s="56" t="s">
        <v>132</v>
      </c>
      <c r="C41" s="54">
        <v>46643.4</v>
      </c>
      <c r="D41" s="54" t="s">
        <v>39</v>
      </c>
      <c r="E41">
        <f t="shared" si="0"/>
        <v>-24.544324036240742</v>
      </c>
      <c r="F41">
        <f t="shared" si="1"/>
        <v>-24.5</v>
      </c>
      <c r="G41">
        <f t="shared" si="2"/>
        <v>-1.2474999999976717</v>
      </c>
      <c r="I41">
        <f t="shared" si="3"/>
        <v>-1.2474999999976717</v>
      </c>
      <c r="O41">
        <f t="shared" ca="1" si="4"/>
        <v>-1.1846837303714872</v>
      </c>
      <c r="Q41" s="2">
        <f t="shared" si="5"/>
        <v>31624.9</v>
      </c>
    </row>
    <row r="42" spans="1:17" x14ac:dyDescent="0.2">
      <c r="A42" s="53" t="s">
        <v>115</v>
      </c>
      <c r="B42" s="56" t="s">
        <v>133</v>
      </c>
      <c r="C42" s="54">
        <v>46910</v>
      </c>
      <c r="D42" s="54" t="s">
        <v>39</v>
      </c>
      <c r="E42">
        <f t="shared" si="0"/>
        <v>-15.071948836382914</v>
      </c>
      <c r="F42">
        <f t="shared" si="1"/>
        <v>-15</v>
      </c>
      <c r="G42">
        <f t="shared" si="2"/>
        <v>-2.0249999999941792</v>
      </c>
      <c r="I42">
        <f t="shared" si="3"/>
        <v>-2.0249999999941792</v>
      </c>
      <c r="O42">
        <f t="shared" ca="1" si="4"/>
        <v>-1.0908325756157629</v>
      </c>
      <c r="Q42" s="2">
        <f t="shared" si="5"/>
        <v>31891.5</v>
      </c>
    </row>
    <row r="43" spans="1:17" x14ac:dyDescent="0.2">
      <c r="A43" s="53" t="s">
        <v>118</v>
      </c>
      <c r="B43" s="56" t="s">
        <v>132</v>
      </c>
      <c r="C43" s="54">
        <v>47025.3</v>
      </c>
      <c r="D43" s="54" t="s">
        <v>39</v>
      </c>
      <c r="E43">
        <f t="shared" si="0"/>
        <v>-10.97530644874735</v>
      </c>
      <c r="F43">
        <f t="shared" si="1"/>
        <v>-11</v>
      </c>
      <c r="G43">
        <f t="shared" si="2"/>
        <v>0.69500000000698492</v>
      </c>
      <c r="I43">
        <f t="shared" si="3"/>
        <v>0.69500000000698492</v>
      </c>
      <c r="O43">
        <f t="shared" ca="1" si="4"/>
        <v>-1.0513162999291421</v>
      </c>
      <c r="Q43" s="2">
        <f t="shared" si="5"/>
        <v>32006.800000000003</v>
      </c>
    </row>
    <row r="44" spans="1:17" x14ac:dyDescent="0.2">
      <c r="A44" s="53" t="s">
        <v>121</v>
      </c>
      <c r="B44" s="56" t="s">
        <v>133</v>
      </c>
      <c r="C44" s="54">
        <v>47110</v>
      </c>
      <c r="D44" s="54" t="s">
        <v>39</v>
      </c>
      <c r="E44">
        <f t="shared" si="0"/>
        <v>-7.9658909220109111</v>
      </c>
      <c r="F44">
        <f t="shared" si="1"/>
        <v>-8</v>
      </c>
      <c r="G44">
        <f t="shared" si="2"/>
        <v>0.96000000000640284</v>
      </c>
      <c r="I44">
        <f t="shared" si="3"/>
        <v>0.96000000000640284</v>
      </c>
      <c r="O44">
        <f t="shared" ca="1" si="4"/>
        <v>-1.0216790931641764</v>
      </c>
      <c r="Q44" s="2">
        <f t="shared" si="5"/>
        <v>32091.5</v>
      </c>
    </row>
    <row r="45" spans="1:17" x14ac:dyDescent="0.2">
      <c r="A45" t="str">
        <f>D7</f>
        <v>BRNO</v>
      </c>
      <c r="C45" s="8">
        <f>C$7</f>
        <v>47334.2</v>
      </c>
      <c r="D45" s="8" t="s">
        <v>13</v>
      </c>
      <c r="E45">
        <f t="shared" si="0"/>
        <v>0</v>
      </c>
      <c r="F45">
        <f t="shared" si="1"/>
        <v>0</v>
      </c>
      <c r="G45">
        <f t="shared" si="2"/>
        <v>0</v>
      </c>
      <c r="I45">
        <f t="shared" si="3"/>
        <v>0</v>
      </c>
      <c r="O45">
        <f t="shared" ca="1" si="4"/>
        <v>-0.94264654179093488</v>
      </c>
      <c r="Q45" s="2">
        <f t="shared" si="5"/>
        <v>32315.699999999997</v>
      </c>
    </row>
    <row r="46" spans="1:17" x14ac:dyDescent="0.2">
      <c r="A46" s="53" t="s">
        <v>128</v>
      </c>
      <c r="B46" s="56" t="s">
        <v>132</v>
      </c>
      <c r="C46" s="54">
        <v>47768.6</v>
      </c>
      <c r="D46" s="54" t="s">
        <v>39</v>
      </c>
      <c r="E46">
        <f t="shared" si="0"/>
        <v>15.43435779001604</v>
      </c>
      <c r="F46">
        <f t="shared" si="1"/>
        <v>15.5</v>
      </c>
      <c r="G46">
        <f t="shared" si="2"/>
        <v>-1.8474999999962165</v>
      </c>
      <c r="I46">
        <f t="shared" si="3"/>
        <v>-1.8474999999962165</v>
      </c>
      <c r="O46">
        <f t="shared" ca="1" si="4"/>
        <v>-0.78952097350527939</v>
      </c>
      <c r="Q46" s="2">
        <f t="shared" si="5"/>
        <v>32750.1</v>
      </c>
    </row>
    <row r="47" spans="1:17" x14ac:dyDescent="0.2">
      <c r="A47" s="53" t="s">
        <v>131</v>
      </c>
      <c r="B47" s="56" t="s">
        <v>133</v>
      </c>
      <c r="C47" s="54">
        <v>47824</v>
      </c>
      <c r="D47" s="54" t="s">
        <v>39</v>
      </c>
      <c r="E47">
        <f t="shared" si="0"/>
        <v>17.402735832297136</v>
      </c>
      <c r="F47">
        <f t="shared" si="1"/>
        <v>17.5</v>
      </c>
      <c r="G47">
        <f t="shared" si="2"/>
        <v>-2.7374999999956344</v>
      </c>
      <c r="I47">
        <f t="shared" si="3"/>
        <v>-2.7374999999956344</v>
      </c>
      <c r="O47">
        <f t="shared" ca="1" si="4"/>
        <v>-0.76976283566196901</v>
      </c>
      <c r="Q47" s="2">
        <f t="shared" si="5"/>
        <v>32805.5</v>
      </c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2"/>
  <sheetViews>
    <sheetView workbookViewId="0">
      <selection activeCell="A12" sqref="A12:D37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6" t="s">
        <v>42</v>
      </c>
      <c r="I1" s="37" t="s">
        <v>43</v>
      </c>
      <c r="J1" s="38" t="s">
        <v>41</v>
      </c>
    </row>
    <row r="2" spans="1:16" x14ac:dyDescent="0.2">
      <c r="I2" s="39" t="s">
        <v>44</v>
      </c>
      <c r="J2" s="40" t="s">
        <v>40</v>
      </c>
    </row>
    <row r="3" spans="1:16" x14ac:dyDescent="0.2">
      <c r="A3" s="41" t="s">
        <v>45</v>
      </c>
      <c r="I3" s="39" t="s">
        <v>46</v>
      </c>
      <c r="J3" s="40" t="s">
        <v>38</v>
      </c>
    </row>
    <row r="4" spans="1:16" x14ac:dyDescent="0.2">
      <c r="I4" s="39" t="s">
        <v>47</v>
      </c>
      <c r="J4" s="40" t="s">
        <v>38</v>
      </c>
    </row>
    <row r="5" spans="1:16" ht="13.5" thickBot="1" x14ac:dyDescent="0.25">
      <c r="I5" s="42" t="s">
        <v>48</v>
      </c>
      <c r="J5" s="43" t="s">
        <v>39</v>
      </c>
    </row>
    <row r="10" spans="1:16" ht="13.5" thickBot="1" x14ac:dyDescent="0.25"/>
    <row r="11" spans="1:16" ht="12.75" customHeight="1" thickBot="1" x14ac:dyDescent="0.25">
      <c r="A11" s="8" t="str">
        <f t="shared" ref="A11:A37" si="0">P11</f>
        <v> BBS 88 </v>
      </c>
      <c r="B11" s="3" t="str">
        <f t="shared" ref="B11:B37" si="1">IF(H11=INT(H11),"I","II")</f>
        <v>I</v>
      </c>
      <c r="C11" s="8">
        <f t="shared" ref="C11:C37" si="2">1*G11</f>
        <v>47334.2</v>
      </c>
      <c r="D11" s="10" t="str">
        <f t="shared" ref="D11:D37" si="3">VLOOKUP(F11,I$1:J$5,2,FALSE)</f>
        <v>vis</v>
      </c>
      <c r="E11" s="44">
        <f>VLOOKUP(C11,Active!C$21:E$973,3,FALSE)</f>
        <v>0</v>
      </c>
      <c r="F11" s="3" t="s">
        <v>48</v>
      </c>
      <c r="G11" s="10" t="str">
        <f t="shared" ref="G11:G37" si="4">MID(I11,3,LEN(I11)-3)</f>
        <v>47334.2</v>
      </c>
      <c r="H11" s="8">
        <f t="shared" ref="H11:H37" si="5">1*K11</f>
        <v>1776</v>
      </c>
      <c r="I11" s="45" t="s">
        <v>122</v>
      </c>
      <c r="J11" s="46" t="s">
        <v>123</v>
      </c>
      <c r="K11" s="45">
        <v>1776</v>
      </c>
      <c r="L11" s="45" t="s">
        <v>124</v>
      </c>
      <c r="M11" s="46" t="s">
        <v>55</v>
      </c>
      <c r="N11" s="46"/>
      <c r="O11" s="47" t="s">
        <v>56</v>
      </c>
      <c r="P11" s="47" t="s">
        <v>125</v>
      </c>
    </row>
    <row r="12" spans="1:16" ht="12.75" customHeight="1" thickBot="1" x14ac:dyDescent="0.25">
      <c r="A12" s="8" t="str">
        <f t="shared" si="0"/>
        <v> BBS 68 </v>
      </c>
      <c r="B12" s="3" t="str">
        <f t="shared" si="1"/>
        <v>I</v>
      </c>
      <c r="C12" s="8">
        <f t="shared" si="2"/>
        <v>45558.7</v>
      </c>
      <c r="D12" s="10" t="str">
        <f t="shared" si="3"/>
        <v>vis</v>
      </c>
      <c r="E12" s="44">
        <f>VLOOKUP(C12,Active!C$21:E$973,3,FALSE)</f>
        <v>-63.084029134837451</v>
      </c>
      <c r="F12" s="3" t="s">
        <v>48</v>
      </c>
      <c r="G12" s="10" t="str">
        <f t="shared" si="4"/>
        <v>45558.7</v>
      </c>
      <c r="H12" s="8">
        <f t="shared" si="5"/>
        <v>0</v>
      </c>
      <c r="I12" s="45" t="s">
        <v>52</v>
      </c>
      <c r="J12" s="46" t="s">
        <v>53</v>
      </c>
      <c r="K12" s="45">
        <v>0</v>
      </c>
      <c r="L12" s="45" t="s">
        <v>54</v>
      </c>
      <c r="M12" s="46" t="s">
        <v>55</v>
      </c>
      <c r="N12" s="46"/>
      <c r="O12" s="47" t="s">
        <v>56</v>
      </c>
      <c r="P12" s="47" t="s">
        <v>57</v>
      </c>
    </row>
    <row r="13" spans="1:16" ht="12.75" customHeight="1" thickBot="1" x14ac:dyDescent="0.25">
      <c r="A13" s="8" t="str">
        <f t="shared" si="0"/>
        <v> BBS 68 </v>
      </c>
      <c r="B13" s="3" t="str">
        <f t="shared" si="1"/>
        <v>II</v>
      </c>
      <c r="C13" s="8">
        <f t="shared" si="2"/>
        <v>45574.1</v>
      </c>
      <c r="D13" s="10" t="str">
        <f t="shared" si="3"/>
        <v>vis</v>
      </c>
      <c r="E13" s="44">
        <f>VLOOKUP(C13,Active!C$21:E$973,3,FALSE)</f>
        <v>-62.536862675430754</v>
      </c>
      <c r="F13" s="3" t="s">
        <v>48</v>
      </c>
      <c r="G13" s="10" t="str">
        <f t="shared" si="4"/>
        <v>45574.1</v>
      </c>
      <c r="H13" s="8">
        <f t="shared" si="5"/>
        <v>15.5</v>
      </c>
      <c r="I13" s="45" t="s">
        <v>58</v>
      </c>
      <c r="J13" s="46" t="s">
        <v>59</v>
      </c>
      <c r="K13" s="45">
        <v>15.5</v>
      </c>
      <c r="L13" s="45" t="s">
        <v>60</v>
      </c>
      <c r="M13" s="46" t="s">
        <v>55</v>
      </c>
      <c r="N13" s="46"/>
      <c r="O13" s="47" t="s">
        <v>56</v>
      </c>
      <c r="P13" s="47" t="s">
        <v>57</v>
      </c>
    </row>
    <row r="14" spans="1:16" ht="12.75" customHeight="1" thickBot="1" x14ac:dyDescent="0.25">
      <c r="A14" s="8" t="str">
        <f t="shared" si="0"/>
        <v> BBS 68 </v>
      </c>
      <c r="B14" s="3" t="str">
        <f t="shared" si="1"/>
        <v>I</v>
      </c>
      <c r="C14" s="8">
        <f t="shared" si="2"/>
        <v>45587.6</v>
      </c>
      <c r="D14" s="10" t="str">
        <f t="shared" si="3"/>
        <v>vis</v>
      </c>
      <c r="E14" s="44">
        <f>VLOOKUP(C14,Active!C$21:E$973,3,FALSE)</f>
        <v>-62.057203766210641</v>
      </c>
      <c r="F14" s="3" t="s">
        <v>48</v>
      </c>
      <c r="G14" s="10" t="str">
        <f t="shared" si="4"/>
        <v>45587.6</v>
      </c>
      <c r="H14" s="8">
        <f t="shared" si="5"/>
        <v>29</v>
      </c>
      <c r="I14" s="45" t="s">
        <v>61</v>
      </c>
      <c r="J14" s="46" t="s">
        <v>62</v>
      </c>
      <c r="K14" s="45">
        <v>29</v>
      </c>
      <c r="L14" s="45" t="s">
        <v>60</v>
      </c>
      <c r="M14" s="46" t="s">
        <v>55</v>
      </c>
      <c r="N14" s="46"/>
      <c r="O14" s="47" t="s">
        <v>56</v>
      </c>
      <c r="P14" s="47" t="s">
        <v>57</v>
      </c>
    </row>
    <row r="15" spans="1:16" ht="12.75" customHeight="1" thickBot="1" x14ac:dyDescent="0.25">
      <c r="A15" s="8" t="str">
        <f t="shared" si="0"/>
        <v> BBS 68 </v>
      </c>
      <c r="B15" s="3" t="str">
        <f t="shared" si="1"/>
        <v>I</v>
      </c>
      <c r="C15" s="8">
        <f t="shared" si="2"/>
        <v>45601.599999999999</v>
      </c>
      <c r="D15" s="10" t="str">
        <f t="shared" si="3"/>
        <v>vis</v>
      </c>
      <c r="E15" s="44">
        <f>VLOOKUP(C15,Active!C$21:E$973,3,FALSE)</f>
        <v>-61.559779712204602</v>
      </c>
      <c r="F15" s="3" t="s">
        <v>48</v>
      </c>
      <c r="G15" s="10" t="str">
        <f t="shared" si="4"/>
        <v>45601.6</v>
      </c>
      <c r="H15" s="8">
        <f t="shared" si="5"/>
        <v>43</v>
      </c>
      <c r="I15" s="45" t="s">
        <v>63</v>
      </c>
      <c r="J15" s="46" t="s">
        <v>64</v>
      </c>
      <c r="K15" s="45">
        <v>43</v>
      </c>
      <c r="L15" s="45" t="s">
        <v>60</v>
      </c>
      <c r="M15" s="46" t="s">
        <v>55</v>
      </c>
      <c r="N15" s="46"/>
      <c r="O15" s="47" t="s">
        <v>56</v>
      </c>
      <c r="P15" s="47" t="s">
        <v>57</v>
      </c>
    </row>
    <row r="16" spans="1:16" ht="12.75" customHeight="1" thickBot="1" x14ac:dyDescent="0.25">
      <c r="A16" s="8" t="str">
        <f t="shared" si="0"/>
        <v> BBS 69 </v>
      </c>
      <c r="B16" s="3" t="str">
        <f t="shared" si="1"/>
        <v>I</v>
      </c>
      <c r="C16" s="8">
        <f t="shared" si="2"/>
        <v>45642.400000000001</v>
      </c>
      <c r="D16" s="10" t="str">
        <f t="shared" si="3"/>
        <v>vis</v>
      </c>
      <c r="E16" s="44">
        <f>VLOOKUP(C16,Active!C$21:E$973,3,FALSE)</f>
        <v>-60.110143897672614</v>
      </c>
      <c r="F16" s="3" t="s">
        <v>48</v>
      </c>
      <c r="G16" s="10" t="str">
        <f t="shared" si="4"/>
        <v>45642.4</v>
      </c>
      <c r="H16" s="8">
        <f t="shared" si="5"/>
        <v>84</v>
      </c>
      <c r="I16" s="45" t="s">
        <v>65</v>
      </c>
      <c r="J16" s="46" t="s">
        <v>66</v>
      </c>
      <c r="K16" s="45">
        <v>84</v>
      </c>
      <c r="L16" s="45" t="s">
        <v>67</v>
      </c>
      <c r="M16" s="46" t="s">
        <v>55</v>
      </c>
      <c r="N16" s="46"/>
      <c r="O16" s="47" t="s">
        <v>56</v>
      </c>
      <c r="P16" s="47" t="s">
        <v>68</v>
      </c>
    </row>
    <row r="17" spans="1:16" ht="12.75" customHeight="1" thickBot="1" x14ac:dyDescent="0.25">
      <c r="A17" s="8" t="str">
        <f t="shared" si="0"/>
        <v> BBS 72 </v>
      </c>
      <c r="B17" s="3" t="str">
        <f t="shared" si="1"/>
        <v>I</v>
      </c>
      <c r="C17" s="8">
        <f t="shared" si="2"/>
        <v>45869.5</v>
      </c>
      <c r="D17" s="10" t="str">
        <f t="shared" si="3"/>
        <v>vis</v>
      </c>
      <c r="E17" s="44">
        <f>VLOOKUP(C17,Active!C$21:E$973,3,FALSE)</f>
        <v>-52.041215135903258</v>
      </c>
      <c r="F17" s="3" t="s">
        <v>48</v>
      </c>
      <c r="G17" s="10" t="str">
        <f t="shared" si="4"/>
        <v>45869.5</v>
      </c>
      <c r="H17" s="8">
        <f t="shared" si="5"/>
        <v>311</v>
      </c>
      <c r="I17" s="45" t="s">
        <v>69</v>
      </c>
      <c r="J17" s="46" t="s">
        <v>70</v>
      </c>
      <c r="K17" s="45">
        <v>311</v>
      </c>
      <c r="L17" s="45" t="s">
        <v>71</v>
      </c>
      <c r="M17" s="46" t="s">
        <v>55</v>
      </c>
      <c r="N17" s="46"/>
      <c r="O17" s="47" t="s">
        <v>56</v>
      </c>
      <c r="P17" s="47" t="s">
        <v>72</v>
      </c>
    </row>
    <row r="18" spans="1:16" ht="12.75" customHeight="1" thickBot="1" x14ac:dyDescent="0.25">
      <c r="A18" s="8" t="str">
        <f t="shared" si="0"/>
        <v> BBS 73 </v>
      </c>
      <c r="B18" s="3" t="str">
        <f t="shared" si="1"/>
        <v>I</v>
      </c>
      <c r="C18" s="8">
        <f t="shared" si="2"/>
        <v>45883.4</v>
      </c>
      <c r="D18" s="10" t="str">
        <f t="shared" si="3"/>
        <v>vis</v>
      </c>
      <c r="E18" s="44">
        <f>VLOOKUP(C18,Active!C$21:E$973,3,FALSE)</f>
        <v>-51.547344110854347</v>
      </c>
      <c r="F18" s="3" t="s">
        <v>48</v>
      </c>
      <c r="G18" s="10" t="str">
        <f t="shared" si="4"/>
        <v>45883.4</v>
      </c>
      <c r="H18" s="8">
        <f t="shared" si="5"/>
        <v>325</v>
      </c>
      <c r="I18" s="45" t="s">
        <v>73</v>
      </c>
      <c r="J18" s="46" t="s">
        <v>74</v>
      </c>
      <c r="K18" s="45">
        <v>325</v>
      </c>
      <c r="L18" s="45" t="s">
        <v>67</v>
      </c>
      <c r="M18" s="46" t="s">
        <v>55</v>
      </c>
      <c r="N18" s="46"/>
      <c r="O18" s="47" t="s">
        <v>56</v>
      </c>
      <c r="P18" s="47" t="s">
        <v>75</v>
      </c>
    </row>
    <row r="19" spans="1:16" ht="12.75" customHeight="1" thickBot="1" x14ac:dyDescent="0.25">
      <c r="A19" s="8" t="str">
        <f t="shared" si="0"/>
        <v> BBS 73 </v>
      </c>
      <c r="B19" s="3" t="str">
        <f t="shared" si="1"/>
        <v>II</v>
      </c>
      <c r="C19" s="8">
        <f t="shared" si="2"/>
        <v>45897</v>
      </c>
      <c r="D19" s="10" t="str">
        <f t="shared" si="3"/>
        <v>vis</v>
      </c>
      <c r="E19" s="44">
        <f>VLOOKUP(C19,Active!C$21:E$973,3,FALSE)</f>
        <v>-51.064132172677105</v>
      </c>
      <c r="F19" s="3" t="s">
        <v>48</v>
      </c>
      <c r="G19" s="10" t="str">
        <f t="shared" si="4"/>
        <v>45897.0</v>
      </c>
      <c r="H19" s="8">
        <f t="shared" si="5"/>
        <v>338.5</v>
      </c>
      <c r="I19" s="45" t="s">
        <v>76</v>
      </c>
      <c r="J19" s="46" t="s">
        <v>77</v>
      </c>
      <c r="K19" s="45">
        <v>338.5</v>
      </c>
      <c r="L19" s="45" t="s">
        <v>71</v>
      </c>
      <c r="M19" s="46" t="s">
        <v>55</v>
      </c>
      <c r="N19" s="46"/>
      <c r="O19" s="47" t="s">
        <v>56</v>
      </c>
      <c r="P19" s="47" t="s">
        <v>75</v>
      </c>
    </row>
    <row r="20" spans="1:16" ht="12.75" customHeight="1" thickBot="1" x14ac:dyDescent="0.25">
      <c r="A20" s="8" t="str">
        <f t="shared" si="0"/>
        <v> BBS 73 </v>
      </c>
      <c r="B20" s="3" t="str">
        <f t="shared" si="1"/>
        <v>I</v>
      </c>
      <c r="C20" s="8">
        <f t="shared" si="2"/>
        <v>45925.4</v>
      </c>
      <c r="D20" s="10" t="str">
        <f t="shared" si="3"/>
        <v>vis</v>
      </c>
      <c r="E20" s="44">
        <f>VLOOKUP(C20,Active!C$21:E$973,3,FALSE)</f>
        <v>-50.055071948836229</v>
      </c>
      <c r="F20" s="3" t="s">
        <v>48</v>
      </c>
      <c r="G20" s="10" t="str">
        <f t="shared" si="4"/>
        <v>45925.4</v>
      </c>
      <c r="H20" s="8">
        <f t="shared" si="5"/>
        <v>367</v>
      </c>
      <c r="I20" s="45" t="s">
        <v>78</v>
      </c>
      <c r="J20" s="46" t="s">
        <v>79</v>
      </c>
      <c r="K20" s="45">
        <v>367</v>
      </c>
      <c r="L20" s="45" t="s">
        <v>67</v>
      </c>
      <c r="M20" s="46" t="s">
        <v>55</v>
      </c>
      <c r="N20" s="46"/>
      <c r="O20" s="47" t="s">
        <v>56</v>
      </c>
      <c r="P20" s="47" t="s">
        <v>75</v>
      </c>
    </row>
    <row r="21" spans="1:16" ht="12.75" customHeight="1" thickBot="1" x14ac:dyDescent="0.25">
      <c r="A21" s="8" t="str">
        <f t="shared" si="0"/>
        <v> BBS 73 </v>
      </c>
      <c r="B21" s="3" t="str">
        <f t="shared" si="1"/>
        <v>II</v>
      </c>
      <c r="C21" s="8">
        <f t="shared" si="2"/>
        <v>45939.9</v>
      </c>
      <c r="D21" s="10" t="str">
        <f t="shared" si="3"/>
        <v>vis</v>
      </c>
      <c r="E21" s="44">
        <f>VLOOKUP(C21,Active!C$21:E$973,3,FALSE)</f>
        <v>-49.539882750044256</v>
      </c>
      <c r="F21" s="3" t="s">
        <v>48</v>
      </c>
      <c r="G21" s="10" t="str">
        <f t="shared" si="4"/>
        <v>45939.9</v>
      </c>
      <c r="H21" s="8">
        <f t="shared" si="5"/>
        <v>381.5</v>
      </c>
      <c r="I21" s="45" t="s">
        <v>80</v>
      </c>
      <c r="J21" s="46" t="s">
        <v>81</v>
      </c>
      <c r="K21" s="45">
        <v>381.5</v>
      </c>
      <c r="L21" s="45" t="s">
        <v>67</v>
      </c>
      <c r="M21" s="46" t="s">
        <v>55</v>
      </c>
      <c r="N21" s="46"/>
      <c r="O21" s="47" t="s">
        <v>56</v>
      </c>
      <c r="P21" s="47" t="s">
        <v>75</v>
      </c>
    </row>
    <row r="22" spans="1:16" ht="12.75" customHeight="1" thickBot="1" x14ac:dyDescent="0.25">
      <c r="A22" s="8" t="str">
        <f t="shared" si="0"/>
        <v> BBS 74 </v>
      </c>
      <c r="B22" s="3" t="str">
        <f t="shared" si="1"/>
        <v>I</v>
      </c>
      <c r="C22" s="8">
        <f t="shared" si="2"/>
        <v>46010.6</v>
      </c>
      <c r="D22" s="10" t="str">
        <f t="shared" si="3"/>
        <v>vis</v>
      </c>
      <c r="E22" s="44">
        <f>VLOOKUP(C22,Active!C$21:E$973,3,FALSE)</f>
        <v>-47.027891277313856</v>
      </c>
      <c r="F22" s="3" t="s">
        <v>48</v>
      </c>
      <c r="G22" s="10" t="str">
        <f t="shared" si="4"/>
        <v>46010.6</v>
      </c>
      <c r="H22" s="8">
        <f t="shared" si="5"/>
        <v>452</v>
      </c>
      <c r="I22" s="45" t="s">
        <v>82</v>
      </c>
      <c r="J22" s="46" t="s">
        <v>83</v>
      </c>
      <c r="K22" s="45">
        <v>452</v>
      </c>
      <c r="L22" s="45" t="s">
        <v>60</v>
      </c>
      <c r="M22" s="46" t="s">
        <v>55</v>
      </c>
      <c r="N22" s="46"/>
      <c r="O22" s="47" t="s">
        <v>56</v>
      </c>
      <c r="P22" s="47" t="s">
        <v>84</v>
      </c>
    </row>
    <row r="23" spans="1:16" ht="12.75" customHeight="1" thickBot="1" x14ac:dyDescent="0.25">
      <c r="A23" s="8" t="str">
        <f t="shared" si="0"/>
        <v> BBS 75 </v>
      </c>
      <c r="B23" s="3" t="str">
        <f t="shared" si="1"/>
        <v>II</v>
      </c>
      <c r="C23" s="8">
        <f t="shared" si="2"/>
        <v>46037.8</v>
      </c>
      <c r="D23" s="10" t="str">
        <f t="shared" si="3"/>
        <v>vis</v>
      </c>
      <c r="E23" s="44">
        <f>VLOOKUP(C23,Active!C$21:E$973,3,FALSE)</f>
        <v>-46.06146740095911</v>
      </c>
      <c r="F23" s="3" t="s">
        <v>48</v>
      </c>
      <c r="G23" s="10" t="str">
        <f t="shared" si="4"/>
        <v>46037.8</v>
      </c>
      <c r="H23" s="8">
        <f t="shared" si="5"/>
        <v>479.5</v>
      </c>
      <c r="I23" s="45" t="s">
        <v>85</v>
      </c>
      <c r="J23" s="46" t="s">
        <v>86</v>
      </c>
      <c r="K23" s="45">
        <v>479.5</v>
      </c>
      <c r="L23" s="45" t="s">
        <v>87</v>
      </c>
      <c r="M23" s="46" t="s">
        <v>55</v>
      </c>
      <c r="N23" s="46"/>
      <c r="O23" s="47" t="s">
        <v>56</v>
      </c>
      <c r="P23" s="47" t="s">
        <v>88</v>
      </c>
    </row>
    <row r="24" spans="1:16" ht="12.75" customHeight="1" thickBot="1" x14ac:dyDescent="0.25">
      <c r="A24" s="8" t="str">
        <f t="shared" si="0"/>
        <v> BBS 75 </v>
      </c>
      <c r="B24" s="3" t="str">
        <f t="shared" si="1"/>
        <v>I</v>
      </c>
      <c r="C24" s="8">
        <f t="shared" si="2"/>
        <v>46053.1</v>
      </c>
      <c r="D24" s="10" t="str">
        <f t="shared" si="3"/>
        <v>vis</v>
      </c>
      <c r="E24" s="44">
        <f>VLOOKUP(C24,Active!C$21:E$973,3,FALSE)</f>
        <v>-45.517853970509812</v>
      </c>
      <c r="F24" s="3" t="s">
        <v>48</v>
      </c>
      <c r="G24" s="10" t="str">
        <f t="shared" si="4"/>
        <v>46053.1</v>
      </c>
      <c r="H24" s="8">
        <f t="shared" si="5"/>
        <v>495</v>
      </c>
      <c r="I24" s="45" t="s">
        <v>89</v>
      </c>
      <c r="J24" s="46" t="s">
        <v>90</v>
      </c>
      <c r="K24" s="45">
        <v>495</v>
      </c>
      <c r="L24" s="45" t="s">
        <v>91</v>
      </c>
      <c r="M24" s="46" t="s">
        <v>55</v>
      </c>
      <c r="N24" s="46"/>
      <c r="O24" s="47" t="s">
        <v>56</v>
      </c>
      <c r="P24" s="47" t="s">
        <v>88</v>
      </c>
    </row>
    <row r="25" spans="1:16" ht="12.75" customHeight="1" thickBot="1" x14ac:dyDescent="0.25">
      <c r="A25" s="8" t="str">
        <f t="shared" si="0"/>
        <v> BBS 75 </v>
      </c>
      <c r="B25" s="3" t="str">
        <f t="shared" si="1"/>
        <v>II</v>
      </c>
      <c r="C25" s="8">
        <f t="shared" si="2"/>
        <v>46179.5</v>
      </c>
      <c r="D25" s="10" t="str">
        <f t="shared" si="3"/>
        <v>vis</v>
      </c>
      <c r="E25" s="44">
        <f>VLOOKUP(C25,Active!C$21:E$973,3,FALSE)</f>
        <v>-41.026825368626653</v>
      </c>
      <c r="F25" s="3" t="s">
        <v>48</v>
      </c>
      <c r="G25" s="10" t="str">
        <f t="shared" si="4"/>
        <v>46179.5</v>
      </c>
      <c r="H25" s="8">
        <f t="shared" si="5"/>
        <v>621.5</v>
      </c>
      <c r="I25" s="45" t="s">
        <v>92</v>
      </c>
      <c r="J25" s="46" t="s">
        <v>93</v>
      </c>
      <c r="K25" s="45">
        <v>621.5</v>
      </c>
      <c r="L25" s="45" t="s">
        <v>94</v>
      </c>
      <c r="M25" s="46" t="s">
        <v>55</v>
      </c>
      <c r="N25" s="46"/>
      <c r="O25" s="47" t="s">
        <v>56</v>
      </c>
      <c r="P25" s="47" t="s">
        <v>88</v>
      </c>
    </row>
    <row r="26" spans="1:16" ht="12.75" customHeight="1" thickBot="1" x14ac:dyDescent="0.25">
      <c r="A26" s="8" t="str">
        <f t="shared" si="0"/>
        <v> BBS 78 </v>
      </c>
      <c r="B26" s="3" t="str">
        <f t="shared" si="1"/>
        <v>I</v>
      </c>
      <c r="C26" s="8">
        <f t="shared" si="2"/>
        <v>46291</v>
      </c>
      <c r="D26" s="10" t="str">
        <f t="shared" si="3"/>
        <v>vis</v>
      </c>
      <c r="E26" s="44">
        <f>VLOOKUP(C26,Active!C$21:E$973,3,FALSE)</f>
        <v>-37.065198081364258</v>
      </c>
      <c r="F26" s="3" t="s">
        <v>48</v>
      </c>
      <c r="G26" s="10" t="str">
        <f t="shared" si="4"/>
        <v>46291.0</v>
      </c>
      <c r="H26" s="8">
        <f t="shared" si="5"/>
        <v>733</v>
      </c>
      <c r="I26" s="45" t="s">
        <v>95</v>
      </c>
      <c r="J26" s="46" t="s">
        <v>96</v>
      </c>
      <c r="K26" s="45">
        <v>733</v>
      </c>
      <c r="L26" s="45" t="s">
        <v>94</v>
      </c>
      <c r="M26" s="46" t="s">
        <v>55</v>
      </c>
      <c r="N26" s="46"/>
      <c r="O26" s="47" t="s">
        <v>56</v>
      </c>
      <c r="P26" s="47" t="s">
        <v>97</v>
      </c>
    </row>
    <row r="27" spans="1:16" ht="12.75" customHeight="1" thickBot="1" x14ac:dyDescent="0.25">
      <c r="A27" s="8" t="str">
        <f t="shared" si="0"/>
        <v> BBS 78 </v>
      </c>
      <c r="B27" s="3" t="str">
        <f t="shared" si="1"/>
        <v>I</v>
      </c>
      <c r="C27" s="8">
        <f t="shared" si="2"/>
        <v>46319.1</v>
      </c>
      <c r="D27" s="10" t="str">
        <f t="shared" si="3"/>
        <v>vis</v>
      </c>
      <c r="E27" s="44">
        <f>VLOOKUP(C27,Active!C$21:E$973,3,FALSE)</f>
        <v>-36.066796944395044</v>
      </c>
      <c r="F27" s="3" t="s">
        <v>48</v>
      </c>
      <c r="G27" s="10" t="str">
        <f t="shared" si="4"/>
        <v>46319.1</v>
      </c>
      <c r="H27" s="8">
        <f t="shared" si="5"/>
        <v>761</v>
      </c>
      <c r="I27" s="45" t="s">
        <v>98</v>
      </c>
      <c r="J27" s="46" t="s">
        <v>99</v>
      </c>
      <c r="K27" s="45">
        <v>761</v>
      </c>
      <c r="L27" s="45" t="s">
        <v>91</v>
      </c>
      <c r="M27" s="46" t="s">
        <v>55</v>
      </c>
      <c r="N27" s="46"/>
      <c r="O27" s="47" t="s">
        <v>56</v>
      </c>
      <c r="P27" s="47" t="s">
        <v>97</v>
      </c>
    </row>
    <row r="28" spans="1:16" ht="12.75" customHeight="1" thickBot="1" x14ac:dyDescent="0.25">
      <c r="A28" s="8" t="str">
        <f t="shared" si="0"/>
        <v> BBS 78 </v>
      </c>
      <c r="B28" s="3" t="str">
        <f t="shared" si="1"/>
        <v>I</v>
      </c>
      <c r="C28" s="8">
        <f t="shared" si="2"/>
        <v>46346.400000000001</v>
      </c>
      <c r="D28" s="10" t="str">
        <f t="shared" si="3"/>
        <v>vis</v>
      </c>
      <c r="E28" s="44">
        <f>VLOOKUP(C28,Active!C$21:E$973,3,FALSE)</f>
        <v>-35.096820039083163</v>
      </c>
      <c r="F28" s="3" t="s">
        <v>48</v>
      </c>
      <c r="G28" s="10" t="str">
        <f t="shared" si="4"/>
        <v>46346.4</v>
      </c>
      <c r="H28" s="8">
        <f t="shared" si="5"/>
        <v>788</v>
      </c>
      <c r="I28" s="45" t="s">
        <v>100</v>
      </c>
      <c r="J28" s="46" t="s">
        <v>101</v>
      </c>
      <c r="K28" s="45">
        <v>788</v>
      </c>
      <c r="L28" s="45" t="s">
        <v>67</v>
      </c>
      <c r="M28" s="46" t="s">
        <v>55</v>
      </c>
      <c r="N28" s="46"/>
      <c r="O28" s="47" t="s">
        <v>56</v>
      </c>
      <c r="P28" s="47" t="s">
        <v>97</v>
      </c>
    </row>
    <row r="29" spans="1:16" ht="12.75" customHeight="1" thickBot="1" x14ac:dyDescent="0.25">
      <c r="A29" s="8" t="str">
        <f t="shared" si="0"/>
        <v> BBS 79 </v>
      </c>
      <c r="B29" s="3" t="str">
        <f t="shared" si="1"/>
        <v>I</v>
      </c>
      <c r="C29" s="8">
        <f t="shared" si="2"/>
        <v>46376.3</v>
      </c>
      <c r="D29" s="10" t="str">
        <f t="shared" si="3"/>
        <v>vis</v>
      </c>
      <c r="E29" s="44">
        <f>VLOOKUP(C29,Active!C$21:E$973,3,FALSE)</f>
        <v>-34.034464380884501</v>
      </c>
      <c r="F29" s="3" t="s">
        <v>48</v>
      </c>
      <c r="G29" s="10" t="str">
        <f t="shared" si="4"/>
        <v>46376.3</v>
      </c>
      <c r="H29" s="8">
        <f t="shared" si="5"/>
        <v>818</v>
      </c>
      <c r="I29" s="45" t="s">
        <v>102</v>
      </c>
      <c r="J29" s="46" t="s">
        <v>103</v>
      </c>
      <c r="K29" s="45">
        <v>818</v>
      </c>
      <c r="L29" s="45" t="s">
        <v>87</v>
      </c>
      <c r="M29" s="46" t="s">
        <v>55</v>
      </c>
      <c r="N29" s="46"/>
      <c r="O29" s="47" t="s">
        <v>56</v>
      </c>
      <c r="P29" s="47" t="s">
        <v>104</v>
      </c>
    </row>
    <row r="30" spans="1:16" ht="12.75" customHeight="1" thickBot="1" x14ac:dyDescent="0.25">
      <c r="A30" s="8" t="str">
        <f t="shared" si="0"/>
        <v> BBS 80 </v>
      </c>
      <c r="B30" s="3" t="str">
        <f t="shared" si="1"/>
        <v>I</v>
      </c>
      <c r="C30" s="8">
        <f t="shared" si="2"/>
        <v>46559.4</v>
      </c>
      <c r="D30" s="10" t="str">
        <f t="shared" si="3"/>
        <v>vis</v>
      </c>
      <c r="E30" s="44">
        <f>VLOOKUP(C30,Active!C$21:E$973,3,FALSE)</f>
        <v>-27.528868360276981</v>
      </c>
      <c r="F30" s="3" t="s">
        <v>48</v>
      </c>
      <c r="G30" s="10" t="str">
        <f t="shared" si="4"/>
        <v>46559.4</v>
      </c>
      <c r="H30" s="8">
        <f t="shared" si="5"/>
        <v>1001</v>
      </c>
      <c r="I30" s="45" t="s">
        <v>105</v>
      </c>
      <c r="J30" s="46" t="s">
        <v>106</v>
      </c>
      <c r="K30" s="45">
        <v>1001</v>
      </c>
      <c r="L30" s="45" t="s">
        <v>67</v>
      </c>
      <c r="M30" s="46" t="s">
        <v>55</v>
      </c>
      <c r="N30" s="46"/>
      <c r="O30" s="47" t="s">
        <v>56</v>
      </c>
      <c r="P30" s="47" t="s">
        <v>107</v>
      </c>
    </row>
    <row r="31" spans="1:16" ht="12.75" customHeight="1" thickBot="1" x14ac:dyDescent="0.25">
      <c r="A31" s="8" t="str">
        <f t="shared" si="0"/>
        <v> BBS 80 </v>
      </c>
      <c r="B31" s="3" t="str">
        <f t="shared" si="1"/>
        <v>I</v>
      </c>
      <c r="C31" s="8">
        <f t="shared" si="2"/>
        <v>46616.5</v>
      </c>
      <c r="D31" s="10" t="str">
        <f t="shared" si="3"/>
        <v>vis</v>
      </c>
      <c r="E31" s="44">
        <f>VLOOKUP(C31,Active!C$21:E$973,3,FALSE)</f>
        <v>-25.500088825723825</v>
      </c>
      <c r="F31" s="3" t="s">
        <v>48</v>
      </c>
      <c r="G31" s="10" t="str">
        <f t="shared" si="4"/>
        <v>46616.5</v>
      </c>
      <c r="H31" s="8">
        <f t="shared" si="5"/>
        <v>1058</v>
      </c>
      <c r="I31" s="45" t="s">
        <v>108</v>
      </c>
      <c r="J31" s="46" t="s">
        <v>109</v>
      </c>
      <c r="K31" s="45">
        <v>1058</v>
      </c>
      <c r="L31" s="45" t="s">
        <v>71</v>
      </c>
      <c r="M31" s="46" t="s">
        <v>55</v>
      </c>
      <c r="N31" s="46"/>
      <c r="O31" s="47" t="s">
        <v>56</v>
      </c>
      <c r="P31" s="47" t="s">
        <v>107</v>
      </c>
    </row>
    <row r="32" spans="1:16" ht="12.75" customHeight="1" thickBot="1" x14ac:dyDescent="0.25">
      <c r="A32" s="8" t="str">
        <f t="shared" si="0"/>
        <v> BBS 81 </v>
      </c>
      <c r="B32" s="3" t="str">
        <f t="shared" si="1"/>
        <v>I</v>
      </c>
      <c r="C32" s="8">
        <f t="shared" si="2"/>
        <v>46643.4</v>
      </c>
      <c r="D32" s="10" t="str">
        <f t="shared" si="3"/>
        <v>vis</v>
      </c>
      <c r="E32" s="44">
        <f>VLOOKUP(C32,Active!C$21:E$973,3,FALSE)</f>
        <v>-24.544324036240742</v>
      </c>
      <c r="F32" s="3" t="s">
        <v>48</v>
      </c>
      <c r="G32" s="10" t="str">
        <f t="shared" si="4"/>
        <v>46643.4</v>
      </c>
      <c r="H32" s="8">
        <f t="shared" si="5"/>
        <v>1085</v>
      </c>
      <c r="I32" s="45" t="s">
        <v>110</v>
      </c>
      <c r="J32" s="46" t="s">
        <v>111</v>
      </c>
      <c r="K32" s="45">
        <v>1085</v>
      </c>
      <c r="L32" s="45" t="s">
        <v>67</v>
      </c>
      <c r="M32" s="46" t="s">
        <v>55</v>
      </c>
      <c r="N32" s="46"/>
      <c r="O32" s="47" t="s">
        <v>56</v>
      </c>
      <c r="P32" s="47" t="s">
        <v>112</v>
      </c>
    </row>
    <row r="33" spans="1:16" ht="12.75" customHeight="1" thickBot="1" x14ac:dyDescent="0.25">
      <c r="A33" s="8" t="str">
        <f t="shared" si="0"/>
        <v> BBS 83 </v>
      </c>
      <c r="B33" s="3" t="str">
        <f t="shared" si="1"/>
        <v>II</v>
      </c>
      <c r="C33" s="8">
        <f t="shared" si="2"/>
        <v>46910</v>
      </c>
      <c r="D33" s="10" t="str">
        <f t="shared" si="3"/>
        <v>vis</v>
      </c>
      <c r="E33" s="44">
        <f>VLOOKUP(C33,Active!C$21:E$973,3,FALSE)</f>
        <v>-15.071948836382914</v>
      </c>
      <c r="F33" s="3" t="s">
        <v>48</v>
      </c>
      <c r="G33" s="10" t="str">
        <f t="shared" si="4"/>
        <v>46910.0</v>
      </c>
      <c r="H33" s="8">
        <f t="shared" si="5"/>
        <v>1351.5</v>
      </c>
      <c r="I33" s="45" t="s">
        <v>113</v>
      </c>
      <c r="J33" s="46" t="s">
        <v>114</v>
      </c>
      <c r="K33" s="45">
        <v>1351.5</v>
      </c>
      <c r="L33" s="45" t="s">
        <v>71</v>
      </c>
      <c r="M33" s="46" t="s">
        <v>55</v>
      </c>
      <c r="N33" s="46"/>
      <c r="O33" s="47" t="s">
        <v>56</v>
      </c>
      <c r="P33" s="47" t="s">
        <v>115</v>
      </c>
    </row>
    <row r="34" spans="1:16" ht="12.75" customHeight="1" thickBot="1" x14ac:dyDescent="0.25">
      <c r="A34" s="8" t="str">
        <f t="shared" si="0"/>
        <v> BBS 85 </v>
      </c>
      <c r="B34" s="3" t="str">
        <f t="shared" si="1"/>
        <v>I</v>
      </c>
      <c r="C34" s="8">
        <f t="shared" si="2"/>
        <v>47025.3</v>
      </c>
      <c r="D34" s="10" t="str">
        <f t="shared" si="3"/>
        <v>vis</v>
      </c>
      <c r="E34" s="44">
        <f>VLOOKUP(C34,Active!C$21:E$973,3,FALSE)</f>
        <v>-10.97530644874735</v>
      </c>
      <c r="F34" s="3" t="s">
        <v>48</v>
      </c>
      <c r="G34" s="10" t="str">
        <f t="shared" si="4"/>
        <v>47025.3</v>
      </c>
      <c r="H34" s="8">
        <f t="shared" si="5"/>
        <v>1467</v>
      </c>
      <c r="I34" s="45" t="s">
        <v>116</v>
      </c>
      <c r="J34" s="46" t="s">
        <v>117</v>
      </c>
      <c r="K34" s="45">
        <v>1467</v>
      </c>
      <c r="L34" s="45" t="s">
        <v>87</v>
      </c>
      <c r="M34" s="46" t="s">
        <v>55</v>
      </c>
      <c r="N34" s="46"/>
      <c r="O34" s="47" t="s">
        <v>56</v>
      </c>
      <c r="P34" s="47" t="s">
        <v>118</v>
      </c>
    </row>
    <row r="35" spans="1:16" ht="12.75" customHeight="1" thickBot="1" x14ac:dyDescent="0.25">
      <c r="A35" s="8" t="str">
        <f t="shared" si="0"/>
        <v> BBS 86 </v>
      </c>
      <c r="B35" s="3" t="str">
        <f t="shared" si="1"/>
        <v>II</v>
      </c>
      <c r="C35" s="8">
        <f t="shared" si="2"/>
        <v>47110</v>
      </c>
      <c r="D35" s="10" t="str">
        <f t="shared" si="3"/>
        <v>vis</v>
      </c>
      <c r="E35" s="44">
        <f>VLOOKUP(C35,Active!C$21:E$973,3,FALSE)</f>
        <v>-7.9658909220109111</v>
      </c>
      <c r="F35" s="3" t="s">
        <v>48</v>
      </c>
      <c r="G35" s="10" t="str">
        <f t="shared" si="4"/>
        <v>47110.0</v>
      </c>
      <c r="H35" s="8">
        <f t="shared" si="5"/>
        <v>1551.5</v>
      </c>
      <c r="I35" s="45" t="s">
        <v>119</v>
      </c>
      <c r="J35" s="46" t="s">
        <v>120</v>
      </c>
      <c r="K35" s="45">
        <v>1551.5</v>
      </c>
      <c r="L35" s="45" t="s">
        <v>71</v>
      </c>
      <c r="M35" s="46" t="s">
        <v>55</v>
      </c>
      <c r="N35" s="46"/>
      <c r="O35" s="47" t="s">
        <v>56</v>
      </c>
      <c r="P35" s="47" t="s">
        <v>121</v>
      </c>
    </row>
    <row r="36" spans="1:16" ht="12.75" customHeight="1" thickBot="1" x14ac:dyDescent="0.25">
      <c r="A36" s="8" t="str">
        <f t="shared" si="0"/>
        <v> BBS 92 </v>
      </c>
      <c r="B36" s="3" t="str">
        <f t="shared" si="1"/>
        <v>I</v>
      </c>
      <c r="C36" s="8">
        <f t="shared" si="2"/>
        <v>47768.6</v>
      </c>
      <c r="D36" s="10" t="str">
        <f t="shared" si="3"/>
        <v>vis</v>
      </c>
      <c r="E36" s="44">
        <f>VLOOKUP(C36,Active!C$21:E$973,3,FALSE)</f>
        <v>15.43435779001604</v>
      </c>
      <c r="F36" s="3" t="s">
        <v>48</v>
      </c>
      <c r="G36" s="10" t="str">
        <f t="shared" si="4"/>
        <v>47768.6</v>
      </c>
      <c r="H36" s="8">
        <f t="shared" si="5"/>
        <v>2210</v>
      </c>
      <c r="I36" s="45" t="s">
        <v>126</v>
      </c>
      <c r="J36" s="46" t="s">
        <v>127</v>
      </c>
      <c r="K36" s="45">
        <v>2210</v>
      </c>
      <c r="L36" s="45" t="s">
        <v>60</v>
      </c>
      <c r="M36" s="46" t="s">
        <v>55</v>
      </c>
      <c r="N36" s="46"/>
      <c r="O36" s="47" t="s">
        <v>56</v>
      </c>
      <c r="P36" s="47" t="s">
        <v>128</v>
      </c>
    </row>
    <row r="37" spans="1:16" ht="12.75" customHeight="1" thickBot="1" x14ac:dyDescent="0.25">
      <c r="A37" s="8" t="str">
        <f t="shared" si="0"/>
        <v> BBS 93 </v>
      </c>
      <c r="B37" s="3" t="str">
        <f t="shared" si="1"/>
        <v>II</v>
      </c>
      <c r="C37" s="8">
        <f t="shared" si="2"/>
        <v>47824</v>
      </c>
      <c r="D37" s="10" t="str">
        <f t="shared" si="3"/>
        <v>vis</v>
      </c>
      <c r="E37" s="44">
        <f>VLOOKUP(C37,Active!C$21:E$973,3,FALSE)</f>
        <v>17.402735832297136</v>
      </c>
      <c r="F37" s="3" t="s">
        <v>48</v>
      </c>
      <c r="G37" s="10" t="str">
        <f t="shared" si="4"/>
        <v>47824.0</v>
      </c>
      <c r="H37" s="8">
        <f t="shared" si="5"/>
        <v>2265.5</v>
      </c>
      <c r="I37" s="45" t="s">
        <v>129</v>
      </c>
      <c r="J37" s="46" t="s">
        <v>130</v>
      </c>
      <c r="K37" s="45">
        <v>2265.5</v>
      </c>
      <c r="L37" s="45" t="s">
        <v>71</v>
      </c>
      <c r="M37" s="46" t="s">
        <v>55</v>
      </c>
      <c r="N37" s="46"/>
      <c r="O37" s="47" t="s">
        <v>56</v>
      </c>
      <c r="P37" s="47" t="s">
        <v>131</v>
      </c>
    </row>
    <row r="38" spans="1:16" x14ac:dyDescent="0.2">
      <c r="B38" s="3"/>
      <c r="F38" s="3"/>
    </row>
    <row r="39" spans="1:16" x14ac:dyDescent="0.2">
      <c r="B39" s="3"/>
      <c r="F39" s="3"/>
    </row>
    <row r="40" spans="1:16" x14ac:dyDescent="0.2">
      <c r="B40" s="3"/>
      <c r="F40" s="3"/>
    </row>
    <row r="41" spans="1:16" x14ac:dyDescent="0.2">
      <c r="B41" s="3"/>
      <c r="F41" s="3"/>
    </row>
    <row r="42" spans="1:16" x14ac:dyDescent="0.2">
      <c r="B42" s="3"/>
      <c r="F42" s="3"/>
    </row>
    <row r="43" spans="1:16" x14ac:dyDescent="0.2">
      <c r="B43" s="3"/>
      <c r="F43" s="3"/>
    </row>
    <row r="44" spans="1:16" x14ac:dyDescent="0.2">
      <c r="B44" s="3"/>
      <c r="F44" s="3"/>
    </row>
    <row r="45" spans="1:16" x14ac:dyDescent="0.2">
      <c r="B45" s="3"/>
      <c r="F45" s="3"/>
    </row>
    <row r="46" spans="1:16" x14ac:dyDescent="0.2">
      <c r="B46" s="3"/>
      <c r="F46" s="3"/>
    </row>
    <row r="47" spans="1:16" x14ac:dyDescent="0.2">
      <c r="B47" s="3"/>
      <c r="F47" s="3"/>
    </row>
    <row r="48" spans="1:1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</sheetData>
  <phoneticPr fontId="8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2024-02-04T05:04:57Z</dcterms:modified>
</cp:coreProperties>
</file>