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71D04B-8F3D-491D-BC83-74D554021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AB18" i="1" l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A19" i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18" i="1"/>
  <c r="E43" i="1"/>
  <c r="F43" i="1" s="1"/>
  <c r="P43" i="1"/>
  <c r="E44" i="1"/>
  <c r="F44" i="1" s="1"/>
  <c r="P44" i="1"/>
  <c r="D11" i="1"/>
  <c r="AB10" i="1" s="1"/>
  <c r="D12" i="1"/>
  <c r="O34" i="1" s="1"/>
  <c r="Q34" i="1" s="1"/>
  <c r="T34" i="1" s="1"/>
  <c r="D13" i="1"/>
  <c r="E9" i="1"/>
  <c r="D9" i="1"/>
  <c r="E25" i="1"/>
  <c r="F25" i="1"/>
  <c r="E26" i="1"/>
  <c r="F26" i="1" s="1"/>
  <c r="E27" i="1"/>
  <c r="F27" i="1" s="1"/>
  <c r="E28" i="1"/>
  <c r="F28" i="1"/>
  <c r="G28" i="1" s="1"/>
  <c r="E29" i="1"/>
  <c r="F29" i="1"/>
  <c r="G29" i="1" s="1"/>
  <c r="I29" i="1" s="1"/>
  <c r="E30" i="1"/>
  <c r="F30" i="1" s="1"/>
  <c r="E31" i="1"/>
  <c r="F31" i="1"/>
  <c r="E32" i="1"/>
  <c r="F32" i="1"/>
  <c r="G32" i="1"/>
  <c r="J32" i="1" s="1"/>
  <c r="E33" i="1"/>
  <c r="F33" i="1" s="1"/>
  <c r="E34" i="1"/>
  <c r="F34" i="1"/>
  <c r="E35" i="1"/>
  <c r="F35" i="1" s="1"/>
  <c r="E36" i="1"/>
  <c r="F36" i="1"/>
  <c r="G36" i="1" s="1"/>
  <c r="J36" i="1" s="1"/>
  <c r="E37" i="1"/>
  <c r="F37" i="1"/>
  <c r="E38" i="1"/>
  <c r="F38" i="1"/>
  <c r="G38" i="1" s="1"/>
  <c r="E39" i="1"/>
  <c r="F39" i="1"/>
  <c r="G39" i="1" s="1"/>
  <c r="J39" i="1" s="1"/>
  <c r="E40" i="1"/>
  <c r="F40" i="1" s="1"/>
  <c r="E41" i="1"/>
  <c r="F41" i="1" s="1"/>
  <c r="E42" i="1"/>
  <c r="F42" i="1"/>
  <c r="O42" i="1" s="1"/>
  <c r="E21" i="1"/>
  <c r="F21" i="1" s="1"/>
  <c r="E22" i="1"/>
  <c r="F22" i="1"/>
  <c r="G22" i="1"/>
  <c r="E23" i="1"/>
  <c r="F23" i="1"/>
  <c r="E24" i="1"/>
  <c r="F24" i="1" s="1"/>
  <c r="G29" i="2"/>
  <c r="C29" i="2" s="1"/>
  <c r="E29" i="2" s="1"/>
  <c r="G28" i="2"/>
  <c r="C28" i="2" s="1"/>
  <c r="E28" i="2" s="1"/>
  <c r="G27" i="2"/>
  <c r="C27" i="2" s="1"/>
  <c r="E27" i="2" s="1"/>
  <c r="G26" i="2"/>
  <c r="C26" i="2" s="1"/>
  <c r="E26" i="2" s="1"/>
  <c r="G25" i="2"/>
  <c r="C25" i="2"/>
  <c r="E25" i="2" s="1"/>
  <c r="G24" i="2"/>
  <c r="C24" i="2"/>
  <c r="E24" i="2" s="1"/>
  <c r="G23" i="2"/>
  <c r="C23" i="2" s="1"/>
  <c r="E23" i="2" s="1"/>
  <c r="G22" i="2"/>
  <c r="C22" i="2" s="1"/>
  <c r="E22" i="2" s="1"/>
  <c r="G21" i="2"/>
  <c r="C21" i="2" s="1"/>
  <c r="E21" i="2" s="1"/>
  <c r="G20" i="2"/>
  <c r="C20" i="2" s="1"/>
  <c r="E20" i="2" s="1"/>
  <c r="G19" i="2"/>
  <c r="C19" i="2" s="1"/>
  <c r="E19" i="2" s="1"/>
  <c r="G18" i="2"/>
  <c r="C18" i="2" s="1"/>
  <c r="E18" i="2" s="1"/>
  <c r="G17" i="2"/>
  <c r="C17" i="2"/>
  <c r="E17" i="2" s="1"/>
  <c r="G16" i="2"/>
  <c r="C16" i="2"/>
  <c r="E16" i="2" s="1"/>
  <c r="G15" i="2"/>
  <c r="C15" i="2" s="1"/>
  <c r="E15" i="2" s="1"/>
  <c r="G14" i="2"/>
  <c r="C14" i="2" s="1"/>
  <c r="E14" i="2" s="1"/>
  <c r="G13" i="2"/>
  <c r="C13" i="2" s="1"/>
  <c r="E13" i="2" s="1"/>
  <c r="G12" i="2"/>
  <c r="C12" i="2" s="1"/>
  <c r="E12" i="2" s="1"/>
  <c r="G11" i="2"/>
  <c r="C11" i="2" s="1"/>
  <c r="E11" i="2" s="1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P41" i="1"/>
  <c r="P42" i="1"/>
  <c r="P40" i="1"/>
  <c r="AB13" i="1"/>
  <c r="AB12" i="1"/>
  <c r="AB11" i="1"/>
  <c r="AB5" i="1"/>
  <c r="AB4" i="1"/>
  <c r="AB3" i="1"/>
  <c r="P21" i="1"/>
  <c r="F16" i="1"/>
  <c r="F17" i="1" s="1"/>
  <c r="P24" i="1"/>
  <c r="P23" i="1"/>
  <c r="P22" i="1"/>
  <c r="P35" i="1"/>
  <c r="P36" i="1"/>
  <c r="P37" i="1"/>
  <c r="P38" i="1"/>
  <c r="P39" i="1"/>
  <c r="C17" i="1"/>
  <c r="P26" i="1"/>
  <c r="P27" i="1"/>
  <c r="P28" i="1"/>
  <c r="P29" i="1"/>
  <c r="P30" i="1"/>
  <c r="P31" i="1"/>
  <c r="P32" i="1"/>
  <c r="P33" i="1"/>
  <c r="P34" i="1"/>
  <c r="P25" i="1"/>
  <c r="I22" i="1"/>
  <c r="G37" i="1"/>
  <c r="J37" i="1"/>
  <c r="O37" i="1"/>
  <c r="Q37" i="1" s="1"/>
  <c r="T37" i="1" s="1"/>
  <c r="G31" i="1"/>
  <c r="J31" i="1" s="1"/>
  <c r="G25" i="1"/>
  <c r="O29" i="1"/>
  <c r="Q29" i="1" s="1"/>
  <c r="T29" i="1" s="1"/>
  <c r="G23" i="1"/>
  <c r="I23" i="1" s="1"/>
  <c r="O23" i="1"/>
  <c r="Q23" i="1" s="1"/>
  <c r="T23" i="1" s="1"/>
  <c r="G34" i="1"/>
  <c r="J34" i="1" s="1"/>
  <c r="J25" i="1"/>
  <c r="AB14" i="1" l="1"/>
  <c r="O32" i="1"/>
  <c r="Q32" i="1" s="1"/>
  <c r="T32" i="1" s="1"/>
  <c r="AB7" i="1"/>
  <c r="AB15" i="1"/>
  <c r="O38" i="1"/>
  <c r="O25" i="1"/>
  <c r="Q25" i="1" s="1"/>
  <c r="T25" i="1" s="1"/>
  <c r="O39" i="1"/>
  <c r="Q39" i="1" s="1"/>
  <c r="T39" i="1" s="1"/>
  <c r="O28" i="1"/>
  <c r="Q28" i="1" s="1"/>
  <c r="T28" i="1" s="1"/>
  <c r="AB8" i="1"/>
  <c r="AB16" i="1"/>
  <c r="AB6" i="1"/>
  <c r="O31" i="1"/>
  <c r="O22" i="1"/>
  <c r="Q22" i="1" s="1"/>
  <c r="T22" i="1" s="1"/>
  <c r="AB9" i="1"/>
  <c r="AB17" i="1"/>
  <c r="AB2" i="1"/>
  <c r="O44" i="1"/>
  <c r="G44" i="1"/>
  <c r="J44" i="1" s="1"/>
  <c r="G43" i="1"/>
  <c r="J43" i="1" s="1"/>
  <c r="O43" i="1"/>
  <c r="Q43" i="1" s="1"/>
  <c r="T43" i="1" s="1"/>
  <c r="O40" i="1"/>
  <c r="G40" i="1"/>
  <c r="J40" i="1" s="1"/>
  <c r="O26" i="1"/>
  <c r="G26" i="1"/>
  <c r="O35" i="1"/>
  <c r="G35" i="1"/>
  <c r="J35" i="1" s="1"/>
  <c r="O30" i="1"/>
  <c r="G30" i="1"/>
  <c r="J30" i="1" s="1"/>
  <c r="Q38" i="1"/>
  <c r="T38" i="1" s="1"/>
  <c r="J38" i="1"/>
  <c r="G21" i="1"/>
  <c r="I21" i="1" s="1"/>
  <c r="D15" i="1"/>
  <c r="C19" i="1" s="1"/>
  <c r="O21" i="1"/>
  <c r="Q21" i="1" s="1"/>
  <c r="T21" i="1" s="1"/>
  <c r="D16" i="1"/>
  <c r="D19" i="1" s="1"/>
  <c r="O33" i="1"/>
  <c r="G33" i="1"/>
  <c r="I33" i="1" s="1"/>
  <c r="I28" i="1"/>
  <c r="G24" i="1"/>
  <c r="I24" i="1" s="1"/>
  <c r="O24" i="1"/>
  <c r="O41" i="1"/>
  <c r="Q41" i="1" s="1"/>
  <c r="T41" i="1" s="1"/>
  <c r="G41" i="1"/>
  <c r="J41" i="1" s="1"/>
  <c r="G27" i="1"/>
  <c r="J27" i="1" s="1"/>
  <c r="O27" i="1"/>
  <c r="G42" i="1"/>
  <c r="J42" i="1" s="1"/>
  <c r="Q31" i="1"/>
  <c r="T31" i="1" s="1"/>
  <c r="O36" i="1"/>
  <c r="Q36" i="1" s="1"/>
  <c r="T36" i="1" s="1"/>
  <c r="C11" i="1"/>
  <c r="C12" i="1"/>
  <c r="N43" i="1" l="1"/>
  <c r="N44" i="1"/>
  <c r="Q44" i="1"/>
  <c r="T44" i="1" s="1"/>
  <c r="N23" i="1"/>
  <c r="N36" i="1"/>
  <c r="N28" i="1"/>
  <c r="N27" i="1"/>
  <c r="N35" i="1"/>
  <c r="N32" i="1"/>
  <c r="N33" i="1"/>
  <c r="N38" i="1"/>
  <c r="N31" i="1"/>
  <c r="N25" i="1"/>
  <c r="N21" i="1"/>
  <c r="N26" i="1"/>
  <c r="N42" i="1"/>
  <c r="N41" i="1"/>
  <c r="N39" i="1"/>
  <c r="N22" i="1"/>
  <c r="N30" i="1"/>
  <c r="N34" i="1"/>
  <c r="N37" i="1"/>
  <c r="N24" i="1"/>
  <c r="N29" i="1"/>
  <c r="N40" i="1"/>
  <c r="C15" i="1"/>
  <c r="C16" i="1"/>
  <c r="D18" i="1" s="1"/>
  <c r="Q33" i="1"/>
  <c r="T33" i="1" s="1"/>
  <c r="Q30" i="1"/>
  <c r="T30" i="1" s="1"/>
  <c r="Q24" i="1"/>
  <c r="T24" i="1" s="1"/>
  <c r="Q35" i="1"/>
  <c r="T35" i="1" s="1"/>
  <c r="J26" i="1"/>
  <c r="Q26" i="1"/>
  <c r="T26" i="1" s="1"/>
  <c r="E14" i="1" s="1"/>
  <c r="Q27" i="1"/>
  <c r="T27" i="1" s="1"/>
  <c r="Q42" i="1"/>
  <c r="T42" i="1" s="1"/>
  <c r="Q40" i="1"/>
  <c r="T40" i="1" s="1"/>
  <c r="C18" i="1" l="1"/>
  <c r="F18" i="1"/>
  <c r="F19" i="1" s="1"/>
</calcChain>
</file>

<file path=xl/sharedStrings.xml><?xml version="1.0" encoding="utf-8"?>
<sst xmlns="http://schemas.openxmlformats.org/spreadsheetml/2006/main" count="267" uniqueCount="133">
  <si>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</si>
  <si>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</si>
  <si>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</si>
  <si>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</si>
  <si>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</si>
  <si>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</si>
  <si>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</si>
  <si>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</si>
  <si>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</si>
  <si>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</si>
  <si>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</si>
  <si>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</si>
  <si>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</si>
  <si>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</si>
  <si>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</si>
  <si>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</si>
  <si>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</si>
  <si>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</si>
  <si>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</si>
  <si>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</si>
  <si>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</si>
  <si>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</si>
  <si>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</si>
  <si>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</si>
  <si>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</si>
  <si>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</si>
  <si>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IBVS 5714</t>
  </si>
  <si>
    <t>I</t>
  </si>
  <si>
    <t>II</t>
  </si>
  <si>
    <t>IBVS 5699</t>
  </si>
  <si>
    <t>not avail.</t>
  </si>
  <si>
    <t>V1898 Cyg / GSC 3588-4247</t>
  </si>
  <si>
    <t xml:space="preserve">EA/DM     </t>
  </si>
  <si>
    <t>Verified by ToMcat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</si>
  <si>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</si>
  <si>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</si>
  <si>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</si>
  <si>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</si>
  <si>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</si>
  <si>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</si>
  <si>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</si>
  <si>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0094</t>
  </si>
  <si>
    <t>Halbedel 1985</t>
  </si>
  <si>
    <t>IBVS 2663</t>
  </si>
  <si>
    <t>Add cycle</t>
  </si>
  <si>
    <t>Old Cycle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</si>
  <si>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</si>
  <si>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</si>
  <si>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</si>
  <si>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</si>
  <si>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</si>
  <si>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</si>
  <si>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</si>
  <si>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</si>
  <si>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</si>
  <si>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</si>
  <si>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</si>
  <si>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</si>
  <si>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</si>
  <si>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</si>
  <si>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</si>
  <si>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</si>
  <si>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</si>
  <si>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2445960.6758 </t>
  </si>
  <si>
    <t> 17.09.1984 04:13 </t>
  </si>
  <si>
    <t> 0.0008 </t>
  </si>
  <si>
    <t>E </t>
  </si>
  <si>
    <t>?</t>
  </si>
  <si>
    <t> E.M.Halbedel </t>
  </si>
  <si>
    <t>IBVS 2663 </t>
  </si>
  <si>
    <t>2445963.6986 </t>
  </si>
  <si>
    <t> 20.09.1984 04:45 </t>
  </si>
  <si>
    <t> -0.0026 </t>
  </si>
  <si>
    <t>2446010.6101 </t>
  </si>
  <si>
    <t> 06.11.1984 02:38 </t>
  </si>
  <si>
    <t> 0.0020 </t>
  </si>
  <si>
    <t>2446013.6351 </t>
  </si>
  <si>
    <t> 09.11.1984 03:14 </t>
  </si>
  <si>
    <t>2450690.6948 </t>
  </si>
  <si>
    <t> 30.08.1997 04:40 </t>
  </si>
  <si>
    <t> -0.0049 </t>
  </si>
  <si>
    <t>C </t>
  </si>
  <si>
    <t> Caton &amp; Smith </t>
  </si>
  <si>
    <t>IBVS 5699 </t>
  </si>
  <si>
    <t>2452169.7772 </t>
  </si>
  <si>
    <t> 17.09.2001 06:39 </t>
  </si>
  <si>
    <t> -0.0009 </t>
  </si>
  <si>
    <t>2452185.6636 </t>
  </si>
  <si>
    <t> 03.10.2001 03:55 </t>
  </si>
  <si>
    <t> -0.0023 </t>
  </si>
  <si>
    <t>m</t>
  </si>
  <si>
    <t>2452895.3220 </t>
  </si>
  <si>
    <t> 12.09.2003 19:43 </t>
  </si>
  <si>
    <t> 0.0011 </t>
  </si>
  <si>
    <t> Dallaporta &amp; Munari </t>
  </si>
  <si>
    <t>IBVS 5714 </t>
  </si>
  <si>
    <t>2452901.3740 </t>
  </si>
  <si>
    <t> 18.09.2003 20:58 </t>
  </si>
  <si>
    <t> 0.0006 </t>
  </si>
  <si>
    <t>2452928.6107 </t>
  </si>
  <si>
    <t> 16.10.2003 02:39 </t>
  </si>
  <si>
    <t>2453207.7802 </t>
  </si>
  <si>
    <t> 21.07.2004 06:43 </t>
  </si>
  <si>
    <t> -0.0007 </t>
  </si>
  <si>
    <t>2453226.6966 </t>
  </si>
  <si>
    <t> 09.08.2004 04:43 </t>
  </si>
  <si>
    <t> 0.0016 </t>
  </si>
  <si>
    <t>2453246.3663 </t>
  </si>
  <si>
    <t> 28.08.2004 20:47 </t>
  </si>
  <si>
    <t> 0.0007 </t>
  </si>
  <si>
    <t>B</t>
  </si>
  <si>
    <t>2453270.5757 </t>
  </si>
  <si>
    <t> 22.09.2004 01:49 </t>
  </si>
  <si>
    <t> 0.0001 </t>
  </si>
  <si>
    <t>2454443.2558 </t>
  </si>
  <si>
    <t> 08.12.2007 18:08 </t>
  </si>
  <si>
    <t> 0.0094 </t>
  </si>
  <si>
    <t>R</t>
  </si>
  <si>
    <t> L.Šmelcer </t>
  </si>
  <si>
    <t>OEJV 0094 </t>
  </si>
  <si>
    <t>2454443.2564 </t>
  </si>
  <si>
    <t> 08.12.2007 18:09 </t>
  </si>
  <si>
    <t> 0.0100 </t>
  </si>
  <si>
    <t>2454691.4070 </t>
  </si>
  <si>
    <t> 12.08.2008 21:46 </t>
  </si>
  <si>
    <t> 0.0083 </t>
  </si>
  <si>
    <t>2454691.4089 </t>
  </si>
  <si>
    <t> 12.08.2008 21:48 </t>
  </si>
  <si>
    <t> 0.0102 </t>
  </si>
  <si>
    <t>2454691.4097 </t>
  </si>
  <si>
    <t> 12.08.2008 21:49 </t>
  </si>
  <si>
    <t> 0.0110 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</si>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</sst>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>
      <alignment vertical="top"/>
    </xf>
    <xf numFmtId="0" fontId="9" fillId="0" borderId="0" xfId="0" applyFont="1" applyAlignment="1"/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14" fillId="0" borderId="0" xfId="0" applyFont="1">
      <alignment vertical="top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6" xfId="0" applyBorder="1" applyAlignment="1"/>
    <xf numFmtId="0" fontId="0" fillId="0" borderId="7" xfId="0" applyBorder="1" applyAlignment="1"/>
    <xf numFmtId="11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0" xfId="0" applyFont="1" applyAlignment="1"/>
    <xf numFmtId="14" fontId="18" fillId="0" borderId="0" xfId="0" applyNumberFormat="1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3" xfId="0" applyFont="1" applyBorder="1">
      <alignment vertical="top"/>
    </xf>
    <xf numFmtId="0" fontId="6" fillId="0" borderId="4" xfId="0" applyFont="1" applyBorder="1">
      <alignment vertical="top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23" fillId="2" borderId="17" xfId="7" applyFill="1" applyBorder="1" applyAlignment="1" applyProtection="1">
      <alignment horizontal="righ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V1898 Cyg - O-C Diagr.</a:t>
            </a:r>
          </a:p>
        </c:rich>
      </c:tx>
      <c:layout>
        <c:manualLayout>
          <c:xMode val="edge"/>
          <c:yMode val="edge"/>
          <c:x val="0.3416819498636015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57975019893767"/>
          <c:y val="0.14545497589659059"/>
          <c:w val="0.7817538134449538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4-4D84-BA76-509447E562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1.6939799999818206E-2</c:v>
                </c:pt>
                <c:pt idx="1">
                  <c:v>1.3485200004652143E-2</c:v>
                </c:pt>
                <c:pt idx="2">
                  <c:v>1.8038900001556613E-2</c:v>
                </c:pt>
                <c:pt idx="3">
                  <c:v>1.6784300001745578E-2</c:v>
                </c:pt>
                <c:pt idx="7">
                  <c:v>7.2390000423183665E-4</c:v>
                </c:pt>
                <c:pt idx="8">
                  <c:v>2.1470000501722097E-4</c:v>
                </c:pt>
                <c:pt idx="12">
                  <c:v>-5.0969999574590474E-4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4-4D84-BA76-509447E562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">
                  <c:v>0</c:v>
                </c:pt>
                <c:pt idx="5">
                  <c:v>4.6424999891314656E-4</c:v>
                </c:pt>
                <c:pt idx="6">
                  <c:v>-9.723999974085018E-4</c:v>
                </c:pt>
                <c:pt idx="9">
                  <c:v>6.2330000218935311E-4</c:v>
                </c:pt>
                <c:pt idx="10">
                  <c:v>-1.8635499945958145E-3</c:v>
                </c:pt>
                <c:pt idx="11">
                  <c:v>4.4520000665215775E-4</c:v>
                </c:pt>
                <c:pt idx="13">
                  <c:v>-1.1464999988675117E-3</c:v>
                </c:pt>
                <c:pt idx="14">
                  <c:v>5.37600000097882E-3</c:v>
                </c:pt>
                <c:pt idx="15">
                  <c:v>5.9760000003734604E-3</c:v>
                </c:pt>
                <c:pt idx="16">
                  <c:v>3.6588000002666377E-3</c:v>
                </c:pt>
                <c:pt idx="17">
                  <c:v>5.5588000032003038E-3</c:v>
                </c:pt>
                <c:pt idx="18">
                  <c:v>6.3588000048184767E-3</c:v>
                </c:pt>
                <c:pt idx="19">
                  <c:v>4.8581000082776882E-3</c:v>
                </c:pt>
                <c:pt idx="20">
                  <c:v>6.7981000029249117E-3</c:v>
                </c:pt>
                <c:pt idx="21">
                  <c:v>9.998100002121646E-3</c:v>
                </c:pt>
                <c:pt idx="22">
                  <c:v>-2.2429002056014724E-3</c:v>
                </c:pt>
                <c:pt idx="23">
                  <c:v>1.3015997828915715E-3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4-4D84-BA76-509447E562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4-4D84-BA76-509447E562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4-4D84-BA76-509447E562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1.4E-3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5.9999999999999995E-4</c:v>
                  </c:pt>
                  <c:pt idx="20">
                    <c:v>6.9999999999999999E-4</c:v>
                  </c:pt>
                  <c:pt idx="21">
                    <c:v>1E-3</c:v>
                  </c:pt>
                  <c:pt idx="22">
                    <c:v>8.0000000000000002E-3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4-4D84-BA76-509447E56204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-3126</c:v>
                </c:pt>
                <c:pt idx="1">
                  <c:v>-3124</c:v>
                </c:pt>
                <c:pt idx="2">
                  <c:v>-3093</c:v>
                </c:pt>
                <c:pt idx="3">
                  <c:v>-3091</c:v>
                </c:pt>
                <c:pt idx="4">
                  <c:v>0</c:v>
                </c:pt>
                <c:pt idx="5">
                  <c:v>977.5</c:v>
                </c:pt>
                <c:pt idx="6">
                  <c:v>988</c:v>
                </c:pt>
                <c:pt idx="7">
                  <c:v>1457</c:v>
                </c:pt>
                <c:pt idx="8">
                  <c:v>1461</c:v>
                </c:pt>
                <c:pt idx="9">
                  <c:v>1479</c:v>
                </c:pt>
                <c:pt idx="10">
                  <c:v>1663.5</c:v>
                </c:pt>
                <c:pt idx="11">
                  <c:v>1676</c:v>
                </c:pt>
                <c:pt idx="12">
                  <c:v>1689</c:v>
                </c:pt>
                <c:pt idx="13">
                  <c:v>1705</c:v>
                </c:pt>
                <c:pt idx="14">
                  <c:v>2480</c:v>
                </c:pt>
                <c:pt idx="15">
                  <c:v>2480</c:v>
                </c:pt>
                <c:pt idx="16">
                  <c:v>2644</c:v>
                </c:pt>
                <c:pt idx="17">
                  <c:v>2644</c:v>
                </c:pt>
                <c:pt idx="18">
                  <c:v>2644</c:v>
                </c:pt>
                <c:pt idx="19">
                  <c:v>3903</c:v>
                </c:pt>
                <c:pt idx="20">
                  <c:v>3903</c:v>
                </c:pt>
                <c:pt idx="21">
                  <c:v>3903</c:v>
                </c:pt>
                <c:pt idx="22">
                  <c:v>5573</c:v>
                </c:pt>
                <c:pt idx="23">
                  <c:v>5608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0">
                  <c:v>-2.225923983921122E-3</c:v>
                </c:pt>
                <c:pt idx="1">
                  <c:v>-2.224305659008483E-3</c:v>
                </c:pt>
                <c:pt idx="2">
                  <c:v>-2.1992216228625839E-3</c:v>
                </c:pt>
                <c:pt idx="3">
                  <c:v>-2.1976032979499453E-3</c:v>
                </c:pt>
                <c:pt idx="4">
                  <c:v>3.035178545330963E-4</c:v>
                </c:pt>
                <c:pt idx="5">
                  <c:v>1.0944741555852389E-3</c:v>
                </c:pt>
                <c:pt idx="6">
                  <c:v>1.1029703613765918E-3</c:v>
                </c:pt>
                <c:pt idx="7">
                  <c:v>1.4824675533903567E-3</c:v>
                </c:pt>
                <c:pt idx="8">
                  <c:v>1.485704203215634E-3</c:v>
                </c:pt>
                <c:pt idx="9">
                  <c:v>1.5002691274293818E-3</c:v>
                </c:pt>
                <c:pt idx="10">
                  <c:v>1.6495596006202977E-3</c:v>
                </c:pt>
                <c:pt idx="11">
                  <c:v>1.6596741313242894E-3</c:v>
                </c:pt>
                <c:pt idx="12">
                  <c:v>1.6701932432564405E-3</c:v>
                </c:pt>
                <c:pt idx="13">
                  <c:v>1.6831398425575499E-3</c:v>
                </c:pt>
                <c:pt idx="14">
                  <c:v>2.3102407462050286E-3</c:v>
                </c:pt>
                <c:pt idx="15">
                  <c:v>2.3102407462050286E-3</c:v>
                </c:pt>
                <c:pt idx="16">
                  <c:v>2.4429433890413984E-3</c:v>
                </c:pt>
                <c:pt idx="17">
                  <c:v>2.4429433890413984E-3</c:v>
                </c:pt>
                <c:pt idx="18">
                  <c:v>2.4429433890413984E-3</c:v>
                </c:pt>
                <c:pt idx="19">
                  <c:v>3.4616789215474318E-3</c:v>
                </c:pt>
                <c:pt idx="20">
                  <c:v>3.4616789215474318E-3</c:v>
                </c:pt>
                <c:pt idx="21">
                  <c:v>3.4616789215474318E-3</c:v>
                </c:pt>
                <c:pt idx="22">
                  <c:v>4.8129802236007088E-3</c:v>
                </c:pt>
                <c:pt idx="23">
                  <c:v>4.8413009095718863E-3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4-4D84-BA76-509447E56204}"/>
            </c:ext>
          </c:extLst>
        </c:ser>
        <c:ser>
          <c:idx val="8"/>
          <c:order val="7"/>
          <c:tx>
            <c:strRef>
              <c:f>Active!$AB$1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Active!$AA$2:$AA$22</c:f>
              <c:numCache>
                <c:formatCode>General</c:formatCode>
                <c:ptCount val="21"/>
                <c:pt idx="0">
                  <c:v>-3500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  <c:pt idx="16">
                  <c:v>4500</c:v>
                </c:pt>
                <c:pt idx="17">
                  <c:v>5000</c:v>
                </c:pt>
                <c:pt idx="18">
                  <c:v>5500</c:v>
                </c:pt>
                <c:pt idx="19">
                  <c:v>6000</c:v>
                </c:pt>
                <c:pt idx="20">
                  <c:v>6500</c:v>
                </c:pt>
              </c:numCache>
            </c:numRef>
          </c:xVal>
          <c:yVal>
            <c:numRef>
              <c:f>Active!$AB$2:$AB$22</c:f>
              <c:numCache>
                <c:formatCode>General</c:formatCode>
                <c:ptCount val="21"/>
                <c:pt idx="0">
                  <c:v>1.9129256774006419E-2</c:v>
                </c:pt>
                <c:pt idx="1">
                  <c:v>1.5283006516972007E-2</c:v>
                </c:pt>
                <c:pt idx="2">
                  <c:v>1.1881187746617177E-2</c:v>
                </c:pt>
                <c:pt idx="3">
                  <c:v>8.9238004629419374E-3</c:v>
                </c:pt>
                <c:pt idx="4">
                  <c:v>6.4108446659462814E-3</c:v>
                </c:pt>
                <c:pt idx="5">
                  <c:v>4.342320355630213E-3</c:v>
                </c:pt>
                <c:pt idx="6">
                  <c:v>2.71822753199373E-3</c:v>
                </c:pt>
                <c:pt idx="7">
                  <c:v>1.5385661950368342E-3</c:v>
                </c:pt>
                <c:pt idx="8">
                  <c:v>8.0333634475952495E-4</c:v>
                </c:pt>
                <c:pt idx="9">
                  <c:v>5.1253798116180217E-4</c:v>
                </c:pt>
                <c:pt idx="10">
                  <c:v>6.6617110424366591E-4</c:v>
                </c:pt>
                <c:pt idx="11">
                  <c:v>1.2642357140051162E-3</c:v>
                </c:pt>
                <c:pt idx="12">
                  <c:v>2.3067318104461527E-3</c:v>
                </c:pt>
                <c:pt idx="13">
                  <c:v>3.793659393566776E-3</c:v>
                </c:pt>
                <c:pt idx="14">
                  <c:v>5.7250184633669855E-3</c:v>
                </c:pt>
                <c:pt idx="15">
                  <c:v>8.1008090198467827E-3</c:v>
                </c:pt>
                <c:pt idx="16">
                  <c:v>1.0921031063006164E-2</c:v>
                </c:pt>
                <c:pt idx="17">
                  <c:v>1.4185684592845133E-2</c:v>
                </c:pt>
                <c:pt idx="18">
                  <c:v>1.7894769609363689E-2</c:v>
                </c:pt>
                <c:pt idx="19">
                  <c:v>2.2048286112561835E-2</c:v>
                </c:pt>
                <c:pt idx="20">
                  <c:v>2.6646234102439562E-2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4-4D84-BA76-509447E56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50112"/>
        <c:axId val="1"/>
      </c:scatterChart>
      <c:valAx>
        <c:axId val="7942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17370257161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5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4669943985086"/>
          <c:y val="0.92121498449057504"/>
          <c:w val="0.7531313415876682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504825</xdr:colOff>
      <xdr:row>18</xdr:row>
      <xdr:rowOff>123824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6E01E9-2EDF-E68E-C4CD-624693752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4" TargetMode="External"/><Relationship Id="rId13" Type="http://schemas.openxmlformats.org/officeDocument/2006/relationships/hyperlink" Target="http://www.konkoly.hu/cgi-bin/IBVS?5714" TargetMode="External"/><Relationship Id="rId1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2663" TargetMode="External"/><Relationship Id="rId7" Type="http://schemas.openxmlformats.org/officeDocument/2006/relationships/hyperlink" Target="http://www.konkoly.hu/cgi-bin/IBVS?5699" TargetMode="External"/><Relationship Id="rId12" Type="http://schemas.openxmlformats.org/officeDocument/2006/relationships/hyperlink" Target="http://www.konkoly.hu/cgi-bin/IBVS?5699" TargetMode="External"/><Relationship Id="rId1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konkoly.hu/cgi-bin/IBVS?2663" TargetMode="External"/><Relationship Id="rId16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2663" TargetMode="External"/><Relationship Id="rId6" Type="http://schemas.openxmlformats.org/officeDocument/2006/relationships/hyperlink" Target="http://www.konkoly.hu/cgi-bin/IBVS?5699" TargetMode="External"/><Relationship Id="rId11" Type="http://schemas.openxmlformats.org/officeDocument/2006/relationships/hyperlink" Target="http://www.konkoly.hu/cgi-bin/IBVS?5699" TargetMode="External"/><Relationship Id="rId5" Type="http://schemas.openxmlformats.org/officeDocument/2006/relationships/hyperlink" Target="http://www.konkoly.hu/cgi-bin/IBVS?5699" TargetMode="External"/><Relationship Id="rId1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5699" TargetMode="External"/><Relationship Id="rId19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663" TargetMode="External"/><Relationship Id="rId9" Type="http://schemas.openxmlformats.org/officeDocument/2006/relationships/hyperlink" Target="http://www.konkoly.hu/cgi-bin/IBVS?5714" TargetMode="External"/><Relationship Id="rId14" Type="http://schemas.openxmlformats.org/officeDocument/2006/relationships/hyperlink" Target="http://www.konkoly.hu/cgi-bin/IBVS?56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7"/>
  <sheetViews>
    <sheetView tabSelected="1" workbookViewId="0">
      <pane xSplit="14" ySplit="21" topLeftCell="P25" activePane="bottomRight" state="frozen"/>
      <selection pane="topRight" activeCell="O1" sqref="O1"/>
      <selection pane="bottomLeft" activeCell="A22" sqref="A22"/>
      <selection pane="bottomRight" activeCell="F2" sqref="F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6.140625" customWidth="1"/>
    <col min="7" max="7" width="8.140625" customWidth="1"/>
    <col min="8" max="13" width="8.5703125" customWidth="1"/>
    <col min="14" max="14" width="8" customWidth="1"/>
    <col min="15" max="15" width="7.7109375" customWidth="1"/>
    <col min="16" max="16" width="9.85546875" customWidth="1"/>
    <col min="17" max="17" width="10.28515625" customWidth="1"/>
    <col min="18" max="18" width="9.140625" customWidth="1"/>
  </cols>
  <sheetData>
    <row r="1" spans="1:28" ht="21" thickBot="1">
      <c r="A1" s="1" t="s">
        <v>31</v>
      </c>
      <c r="AA1" s="4" t="s">
        <v>10</v>
      </c>
      <c r="AB1" s="6" t="s">
        <v>21</v>
      </c>
    </row>
    <row r="2" spans="1:28">
      <c r="A2" t="s">
        <v>23</v>
      </c>
      <c r="B2" s="13" t="s">
        <v>32</v>
      </c>
      <c r="AA2" s="42">
        <v>-3500</v>
      </c>
      <c r="AB2" s="42">
        <f>+D$11+D$12*AA2+D$13*AA2^2</f>
        <v>1.9129256774006419E-2</v>
      </c>
    </row>
    <row r="3" spans="1:28" ht="13.5" thickBot="1">
      <c r="AA3" s="42">
        <v>-3000</v>
      </c>
      <c r="AB3" s="42">
        <f>+D$11+D$12*AA3+D$13*AA3^2</f>
        <v>1.5283006516972007E-2</v>
      </c>
    </row>
    <row r="4" spans="1:28" ht="14.25" thickTop="1" thickBot="1">
      <c r="A4" s="5" t="s">
        <v>0</v>
      </c>
      <c r="C4" s="11" t="s">
        <v>30</v>
      </c>
      <c r="D4" s="12" t="s">
        <v>30</v>
      </c>
      <c r="AA4" s="42">
        <v>-2500</v>
      </c>
      <c r="AB4" s="42">
        <f>+D$11+D$12*AA4+D$13*AA4^2</f>
        <v>1.1881187746617177E-2</v>
      </c>
    </row>
    <row r="5" spans="1:28" ht="13.5" thickTop="1">
      <c r="A5" s="15" t="s">
        <v>34</v>
      </c>
      <c r="B5" s="9"/>
      <c r="C5" s="16">
        <v>-9.5</v>
      </c>
      <c r="D5" s="9" t="s">
        <v>35</v>
      </c>
      <c r="AA5" s="42">
        <v>-2000</v>
      </c>
      <c r="AB5" s="42">
        <f>+D$11+D$12*AA5+D$13*AA5^2</f>
        <v>8.9238004629419374E-3</v>
      </c>
    </row>
    <row r="6" spans="1:28">
      <c r="A6" s="5" t="s">
        <v>1</v>
      </c>
      <c r="AA6" s="42">
        <v>-1500</v>
      </c>
      <c r="AB6" s="42">
        <f>+D$11+D$12*AA6+D$13*AA6^2</f>
        <v>6.4108446659462814E-3</v>
      </c>
    </row>
    <row r="7" spans="1:28">
      <c r="A7" t="s">
        <v>2</v>
      </c>
      <c r="C7" s="10">
        <v>50690.694799999997</v>
      </c>
      <c r="AA7" s="42">
        <v>-1000</v>
      </c>
      <c r="AB7" s="42">
        <f>+D$11+D$12*AA7+D$13*AA7^2</f>
        <v>4.342320355630213E-3</v>
      </c>
    </row>
    <row r="8" spans="1:28">
      <c r="A8" t="s">
        <v>3</v>
      </c>
      <c r="C8" s="10">
        <v>1.5131273000000001</v>
      </c>
      <c r="D8" s="14" t="s">
        <v>33</v>
      </c>
      <c r="AA8" s="42">
        <v>-500</v>
      </c>
      <c r="AB8" s="42">
        <f>+D$11+D$12*AA8+D$13*AA8^2</f>
        <v>2.71822753199373E-3</v>
      </c>
    </row>
    <row r="9" spans="1:28">
      <c r="A9" s="27" t="s">
        <v>40</v>
      </c>
      <c r="C9" s="28">
        <v>25</v>
      </c>
      <c r="D9" s="18" t="str">
        <f>"F"&amp;C9</f>
        <v>F25</v>
      </c>
      <c r="E9" s="19" t="str">
        <f>"G"&amp;C9</f>
        <v>G25</v>
      </c>
      <c r="AA9" s="42">
        <v>0</v>
      </c>
      <c r="AB9" s="42">
        <f>+D$11+D$12*AA9+D$13*AA9^2</f>
        <v>1.5385661950368342E-3</v>
      </c>
    </row>
    <row r="10" spans="1:28" ht="13.5" thickBot="1">
      <c r="A10" s="9"/>
      <c r="B10" s="9"/>
      <c r="C10" s="4" t="s">
        <v>19</v>
      </c>
      <c r="D10" s="4" t="s">
        <v>20</v>
      </c>
      <c r="E10" s="9"/>
      <c r="AA10" s="42">
        <v>500</v>
      </c>
      <c r="AB10" s="42">
        <f>+D$11+D$12*AA10+D$13*AA10^2</f>
        <v>8.0333634475952495E-4</v>
      </c>
    </row>
    <row r="11" spans="1:28">
      <c r="A11" s="9" t="s">
        <v>15</v>
      </c>
      <c r="B11" s="9"/>
      <c r="C11" s="17">
        <f ca="1">INTERCEPT(INDIRECT($E$9):G987,INDIRECT($D$9):F987)</f>
        <v>3.035178545330963E-4</v>
      </c>
      <c r="D11" s="3">
        <f>+E11*F11</f>
        <v>1.5385661950368342E-3</v>
      </c>
      <c r="E11" s="32">
        <v>1.5385661950368342E-3</v>
      </c>
      <c r="F11">
        <v>1</v>
      </c>
      <c r="AA11" s="42">
        <v>1000</v>
      </c>
      <c r="AB11" s="42">
        <f>+D$11+D$12*AA11+D$13*AA11^2</f>
        <v>5.1253798116180217E-4</v>
      </c>
    </row>
    <row r="12" spans="1:28">
      <c r="A12" s="9" t="s">
        <v>16</v>
      </c>
      <c r="B12" s="9"/>
      <c r="C12" s="17">
        <f ca="1">SLOPE(INDIRECT($E$9):G987,INDIRECT($D$9):F987)</f>
        <v>8.091624563193276E-7</v>
      </c>
      <c r="D12" s="3">
        <f>+E12*F12</f>
        <v>-1.914891187234205E-6</v>
      </c>
      <c r="E12" s="33">
        <v>-1.914891187234205E-2</v>
      </c>
      <c r="F12" s="34">
        <v>1E-4</v>
      </c>
      <c r="AA12" s="42">
        <v>1500</v>
      </c>
      <c r="AB12" s="42">
        <f>+D$11+D$12*AA12+D$13*AA12^2</f>
        <v>6.6617110424366591E-4</v>
      </c>
    </row>
    <row r="13" spans="1:28" ht="13.5" thickBot="1">
      <c r="A13" s="9" t="s">
        <v>18</v>
      </c>
      <c r="B13" s="9"/>
      <c r="C13" s="3" t="s">
        <v>13</v>
      </c>
      <c r="D13" s="3">
        <f>+E13*F13</f>
        <v>8.8886297335917299E-10</v>
      </c>
      <c r="E13" s="35">
        <v>8.8886297335917297E-2</v>
      </c>
      <c r="F13" s="34">
        <v>1E-8</v>
      </c>
      <c r="AA13" s="42">
        <v>2000</v>
      </c>
      <c r="AB13" s="42">
        <f>+D$11+D$12*AA13+D$13*AA13^2</f>
        <v>1.2642357140051162E-3</v>
      </c>
    </row>
    <row r="14" spans="1:28">
      <c r="A14" s="9"/>
      <c r="B14" s="9"/>
      <c r="C14" s="9"/>
      <c r="E14">
        <f>SUM(T21:T945)</f>
        <v>2.3269549649779517E-3</v>
      </c>
      <c r="AA14" s="42">
        <v>2500</v>
      </c>
      <c r="AB14" s="42">
        <f>+D$11+D$12*AA14+D$13*AA14^2</f>
        <v>2.3067318104461527E-3</v>
      </c>
    </row>
    <row r="15" spans="1:28">
      <c r="A15" s="20" t="s">
        <v>17</v>
      </c>
      <c r="B15" s="9"/>
      <c r="C15" s="21">
        <f ca="1">(C7+C11)+(C8+C12)*INT(MAX(F21:F3528))</f>
        <v>59176.317539700904</v>
      </c>
      <c r="D15" s="19">
        <f>+C7+INT(MAX(F21:F1583))*C8+D11+D12*INT(MAX(F21:F4018))+D13*INT(MAX(F21:F4045)^2)</f>
        <v>59176.331452698265</v>
      </c>
      <c r="E15" s="22" t="s">
        <v>44</v>
      </c>
      <c r="F15" s="16">
        <v>1</v>
      </c>
      <c r="AA15" s="42">
        <v>3000</v>
      </c>
      <c r="AB15" s="42">
        <f>+D$11+D$12*AA15+D$13*AA15^2</f>
        <v>3.793659393566776E-3</v>
      </c>
    </row>
    <row r="16" spans="1:28">
      <c r="A16" s="24" t="s">
        <v>4</v>
      </c>
      <c r="B16" s="9"/>
      <c r="C16" s="25">
        <f ca="1">+C8+C12</f>
        <v>1.5131281091624564</v>
      </c>
      <c r="D16" s="19">
        <f>+C8+D12+2*D13*MAX(F21:F891)</f>
        <v>1.5131353545959221</v>
      </c>
      <c r="E16" s="22" t="s">
        <v>36</v>
      </c>
      <c r="F16" s="23">
        <f ca="1">NOW()+15018.5+$C$5/24</f>
        <v>60344.759781944442</v>
      </c>
      <c r="AA16" s="42">
        <v>3500</v>
      </c>
      <c r="AB16" s="42">
        <f>+D$11+D$12*AA16+D$13*AA16^2</f>
        <v>5.7250184633669855E-3</v>
      </c>
    </row>
    <row r="17" spans="1:28" ht="13.5" thickBot="1">
      <c r="A17" s="22" t="s">
        <v>38</v>
      </c>
      <c r="B17" s="9"/>
      <c r="C17" s="9">
        <f>COUNT(C21:C2186)</f>
        <v>24</v>
      </c>
      <c r="D17" s="22"/>
      <c r="E17" s="22" t="s">
        <v>45</v>
      </c>
      <c r="F17" s="23">
        <f ca="1">ROUND(2*(F16-$C$7)/$C$8,0)/2+F15</f>
        <v>6381</v>
      </c>
      <c r="AA17" s="42">
        <v>4000</v>
      </c>
      <c r="AB17" s="42">
        <f>+D$11+D$12*AA17+D$13*AA17^2</f>
        <v>8.1008090198467827E-3</v>
      </c>
    </row>
    <row r="18" spans="1:28" ht="14.25" thickTop="1" thickBot="1">
      <c r="A18" s="24" t="s">
        <v>5</v>
      </c>
      <c r="B18" s="9"/>
      <c r="C18" s="47">
        <f ca="1">+C15</f>
        <v>59176.317539700904</v>
      </c>
      <c r="D18" s="48">
        <f ca="1">+C16</f>
        <v>1.5131281091624564</v>
      </c>
      <c r="E18" s="22" t="s">
        <v>37</v>
      </c>
      <c r="F18" s="19">
        <f ca="1">ROUND(2*(F16-$C$15)/$C$16,0)/2+F15</f>
        <v>773</v>
      </c>
      <c r="AA18">
        <f>AA17+500</f>
        <v>4500</v>
      </c>
      <c r="AB18" s="42">
        <f t="shared" ref="AB18:AB38" si="0">+D$11+D$12*AA18+D$13*AA18^2</f>
        <v>1.0921031063006164E-2</v>
      </c>
    </row>
    <row r="19" spans="1:28" ht="14.25" thickTop="1" thickBot="1">
      <c r="A19" s="5" t="s">
        <v>46</v>
      </c>
      <c r="C19" s="36">
        <f>+D15</f>
        <v>59176.331452698265</v>
      </c>
      <c r="D19" s="37">
        <f>+D16</f>
        <v>1.5131353545959221</v>
      </c>
      <c r="E19" s="22" t="s">
        <v>39</v>
      </c>
      <c r="F19" s="26">
        <f ca="1">+$C$15+$C$16*F18-15018.5-$C$5/24</f>
        <v>45327.86140141682</v>
      </c>
      <c r="AA19">
        <f t="shared" ref="AA19:AA38" si="1">AA18+500</f>
        <v>5000</v>
      </c>
      <c r="AB19" s="42">
        <f t="shared" si="0"/>
        <v>1.4185684592845133E-2</v>
      </c>
    </row>
    <row r="20" spans="1:28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24</v>
      </c>
      <c r="M20" s="7" t="s">
        <v>25</v>
      </c>
      <c r="N20" s="7" t="s">
        <v>22</v>
      </c>
      <c r="O20" s="38" t="s">
        <v>21</v>
      </c>
      <c r="P20" s="4" t="s">
        <v>14</v>
      </c>
      <c r="Q20" s="7" t="s">
        <v>47</v>
      </c>
      <c r="S20" s="6" t="s">
        <v>48</v>
      </c>
      <c r="T20" s="7" t="s">
        <v>49</v>
      </c>
      <c r="U20" s="39" t="s">
        <v>50</v>
      </c>
      <c r="AA20">
        <f t="shared" si="1"/>
        <v>5500</v>
      </c>
      <c r="AB20" s="42">
        <f t="shared" si="0"/>
        <v>1.7894769609363689E-2</v>
      </c>
    </row>
    <row r="21" spans="1:28">
      <c r="A21" s="29" t="s">
        <v>43</v>
      </c>
      <c r="B21" s="3"/>
      <c r="C21" s="29">
        <v>45960.675799999997</v>
      </c>
      <c r="D21" s="8" t="s">
        <v>13</v>
      </c>
      <c r="E21">
        <f t="shared" ref="E21:E42" si="2">+(C21-C$7)/C$8</f>
        <v>-3125.9888047753816</v>
      </c>
      <c r="F21">
        <f t="shared" ref="F21:F42" si="3">ROUND(2*E21,0)/2</f>
        <v>-3126</v>
      </c>
      <c r="G21">
        <f t="shared" ref="G21:G42" si="4">+C21-(C$7+F21*C$8)</f>
        <v>1.6939799999818206E-2</v>
      </c>
      <c r="I21">
        <f>+G21</f>
        <v>1.6939799999818206E-2</v>
      </c>
      <c r="N21">
        <f t="shared" ref="N21:N42" ca="1" si="5">+C$11+C$12*$F21</f>
        <v>-2.225923983921122E-3</v>
      </c>
      <c r="O21" s="40">
        <f t="shared" ref="O21:O42" si="6">+D$11+D$12*F21+D$13*F21^2</f>
        <v>1.6210374802988099E-2</v>
      </c>
      <c r="P21" s="41">
        <f t="shared" ref="P21:P42" si="7">+C21-15018.5</f>
        <v>30942.175799999997</v>
      </c>
      <c r="Q21" s="42">
        <f t="shared" ref="Q21:Q42" si="8">+(O21-G21)^2</f>
        <v>5.3206111777063972E-7</v>
      </c>
      <c r="S21" s="42">
        <v>1</v>
      </c>
      <c r="T21" s="42">
        <f t="shared" ref="T21:T42" si="9">+S21*Q21</f>
        <v>5.3206111777063972E-7</v>
      </c>
      <c r="U21" s="43"/>
      <c r="X21" s="29" t="s">
        <v>42</v>
      </c>
      <c r="AA21">
        <f t="shared" si="1"/>
        <v>6000</v>
      </c>
      <c r="AB21" s="42">
        <f t="shared" si="0"/>
        <v>2.2048286112561835E-2</v>
      </c>
    </row>
    <row r="22" spans="1:28">
      <c r="A22" s="29" t="s">
        <v>43</v>
      </c>
      <c r="B22" s="3"/>
      <c r="C22" s="29">
        <v>45963.698600000003</v>
      </c>
      <c r="D22" s="8" t="s">
        <v>13</v>
      </c>
      <c r="E22">
        <f t="shared" si="2"/>
        <v>-3123.9910878615397</v>
      </c>
      <c r="F22">
        <f t="shared" si="3"/>
        <v>-3124</v>
      </c>
      <c r="G22">
        <f t="shared" si="4"/>
        <v>1.3485200004652143E-2</v>
      </c>
      <c r="I22">
        <f>+G22</f>
        <v>1.3485200004652143E-2</v>
      </c>
      <c r="N22">
        <f t="shared" ca="1" si="5"/>
        <v>-2.224305659008483E-3</v>
      </c>
      <c r="O22" s="40">
        <f t="shared" si="6"/>
        <v>1.6195434233446642E-2</v>
      </c>
      <c r="P22" s="2">
        <f t="shared" si="7"/>
        <v>30945.198600000003</v>
      </c>
      <c r="Q22" s="42">
        <f t="shared" si="8"/>
        <v>7.3453695749293162E-6</v>
      </c>
      <c r="S22" s="42">
        <v>1</v>
      </c>
      <c r="T22" s="42">
        <f t="shared" si="9"/>
        <v>7.3453695749293162E-6</v>
      </c>
      <c r="X22" s="29" t="s">
        <v>42</v>
      </c>
      <c r="AA22">
        <f t="shared" si="1"/>
        <v>6500</v>
      </c>
      <c r="AB22" s="42">
        <f t="shared" si="0"/>
        <v>2.6646234102439562E-2</v>
      </c>
    </row>
    <row r="23" spans="1:28">
      <c r="A23" s="29" t="s">
        <v>43</v>
      </c>
      <c r="B23" s="3"/>
      <c r="C23" s="29">
        <v>46010.610099999998</v>
      </c>
      <c r="D23" s="8" t="s">
        <v>13</v>
      </c>
      <c r="E23">
        <f t="shared" si="2"/>
        <v>-3092.9880783989552</v>
      </c>
      <c r="F23">
        <f t="shared" si="3"/>
        <v>-3093</v>
      </c>
      <c r="G23">
        <f t="shared" si="4"/>
        <v>1.8038900001556613E-2</v>
      </c>
      <c r="I23">
        <f>+G23</f>
        <v>1.8038900001556613E-2</v>
      </c>
      <c r="N23">
        <f t="shared" ca="1" si="5"/>
        <v>-2.1992216228625839E-3</v>
      </c>
      <c r="O23" s="40">
        <f t="shared" si="6"/>
        <v>1.596476471237579E-2</v>
      </c>
      <c r="P23" s="2">
        <f t="shared" si="7"/>
        <v>30992.110099999998</v>
      </c>
      <c r="Q23" s="42">
        <f t="shared" si="8"/>
        <v>4.3020371978252157E-6</v>
      </c>
      <c r="S23" s="42">
        <v>1</v>
      </c>
      <c r="T23" s="42">
        <f t="shared" si="9"/>
        <v>4.3020371978252157E-6</v>
      </c>
      <c r="X23" s="29" t="s">
        <v>42</v>
      </c>
      <c r="AA23">
        <f t="shared" si="1"/>
        <v>7000</v>
      </c>
      <c r="AB23" s="42">
        <f t="shared" si="0"/>
        <v>3.1688613578996869E-2</v>
      </c>
    </row>
    <row r="24" spans="1:28">
      <c r="A24" s="29" t="s">
        <v>43</v>
      </c>
      <c r="B24" s="3"/>
      <c r="C24" s="8">
        <v>46013.6351</v>
      </c>
      <c r="D24" s="8" t="s">
        <v>13</v>
      </c>
      <c r="E24">
        <f t="shared" si="2"/>
        <v>-3090.9889075426754</v>
      </c>
      <c r="F24">
        <f t="shared" si="3"/>
        <v>-3091</v>
      </c>
      <c r="G24">
        <f t="shared" si="4"/>
        <v>1.6784300001745578E-2</v>
      </c>
      <c r="I24">
        <f>+G24</f>
        <v>1.6784300001745578E-2</v>
      </c>
      <c r="N24">
        <f t="shared" ca="1" si="5"/>
        <v>-2.1976032979499453E-3</v>
      </c>
      <c r="O24" s="40">
        <f t="shared" si="6"/>
        <v>1.5949941472746816E-2</v>
      </c>
      <c r="P24" s="2">
        <f t="shared" si="7"/>
        <v>30995.1351</v>
      </c>
      <c r="Q24" s="42">
        <f t="shared" si="8"/>
        <v>6.9615415491297756E-7</v>
      </c>
      <c r="S24" s="42">
        <v>1</v>
      </c>
      <c r="T24" s="42">
        <f t="shared" si="9"/>
        <v>6.9615415491297756E-7</v>
      </c>
      <c r="X24" s="29" t="s">
        <v>42</v>
      </c>
      <c r="AA24">
        <f t="shared" si="1"/>
        <v>7500</v>
      </c>
      <c r="AB24" s="42">
        <f t="shared" si="0"/>
        <v>3.7175424542233777E-2</v>
      </c>
    </row>
    <row r="25" spans="1:28">
      <c r="A25" s="8" t="s">
        <v>29</v>
      </c>
      <c r="B25" s="3" t="s">
        <v>27</v>
      </c>
      <c r="C25" s="8">
        <v>50690.694799999997</v>
      </c>
      <c r="D25" s="8">
        <v>1.8E-3</v>
      </c>
      <c r="E25">
        <f t="shared" si="2"/>
        <v>0</v>
      </c>
      <c r="F25">
        <f t="shared" si="3"/>
        <v>0</v>
      </c>
      <c r="G25">
        <f t="shared" si="4"/>
        <v>0</v>
      </c>
      <c r="J25">
        <f>+G25</f>
        <v>0</v>
      </c>
      <c r="N25">
        <f t="shared" ca="1" si="5"/>
        <v>3.035178545330963E-4</v>
      </c>
      <c r="O25" s="40">
        <f t="shared" si="6"/>
        <v>1.5385661950368342E-3</v>
      </c>
      <c r="P25" s="2">
        <f t="shared" si="7"/>
        <v>35672.194799999997</v>
      </c>
      <c r="Q25" s="42">
        <f t="shared" si="8"/>
        <v>2.367185936510122E-6</v>
      </c>
      <c r="S25" s="42">
        <v>1</v>
      </c>
      <c r="T25" s="42">
        <f t="shared" si="9"/>
        <v>2.367185936510122E-6</v>
      </c>
      <c r="AA25">
        <f t="shared" si="1"/>
        <v>8000</v>
      </c>
      <c r="AB25" s="42">
        <f t="shared" si="0"/>
        <v>4.3106666992150267E-2</v>
      </c>
    </row>
    <row r="26" spans="1:28">
      <c r="A26" s="8" t="s">
        <v>29</v>
      </c>
      <c r="B26" s="3" t="s">
        <v>28</v>
      </c>
      <c r="C26" s="8">
        <v>52169.777199999997</v>
      </c>
      <c r="D26" s="8">
        <v>1E-3</v>
      </c>
      <c r="E26">
        <f t="shared" si="2"/>
        <v>977.50030681489875</v>
      </c>
      <c r="F26">
        <f t="shared" si="3"/>
        <v>977.5</v>
      </c>
      <c r="G26">
        <f t="shared" si="4"/>
        <v>4.6424999891314656E-4</v>
      </c>
      <c r="J26">
        <f>+G26</f>
        <v>4.6424999891314656E-4</v>
      </c>
      <c r="N26">
        <f t="shared" ca="1" si="5"/>
        <v>1.0944741555852389E-3</v>
      </c>
      <c r="O26" s="40">
        <f t="shared" si="6"/>
        <v>5.160741859536721E-4</v>
      </c>
      <c r="P26" s="2">
        <f t="shared" si="7"/>
        <v>37151.277199999997</v>
      </c>
      <c r="Q26" s="42">
        <f t="shared" si="8"/>
        <v>2.6857463624113763E-9</v>
      </c>
      <c r="S26" s="42">
        <v>1</v>
      </c>
      <c r="T26" s="42">
        <f t="shared" si="9"/>
        <v>2.6857463624113763E-9</v>
      </c>
      <c r="AA26">
        <f t="shared" si="1"/>
        <v>8500</v>
      </c>
      <c r="AB26" s="42">
        <f t="shared" si="0"/>
        <v>4.9482340928746343E-2</v>
      </c>
    </row>
    <row r="27" spans="1:28">
      <c r="A27" s="8" t="s">
        <v>29</v>
      </c>
      <c r="B27" s="3" t="s">
        <v>27</v>
      </c>
      <c r="C27" s="8">
        <v>52185.6636</v>
      </c>
      <c r="D27" s="8">
        <v>5.9999999999999995E-4</v>
      </c>
      <c r="E27">
        <f t="shared" si="2"/>
        <v>987.99935735744259</v>
      </c>
      <c r="F27">
        <f t="shared" si="3"/>
        <v>988</v>
      </c>
      <c r="G27">
        <f t="shared" si="4"/>
        <v>-9.723999974085018E-4</v>
      </c>
      <c r="J27">
        <f>+G27</f>
        <v>-9.723999974085018E-4</v>
      </c>
      <c r="N27">
        <f t="shared" ca="1" si="5"/>
        <v>1.1029703613765918E-3</v>
      </c>
      <c r="O27" s="40">
        <f t="shared" si="6"/>
        <v>5.1431196031615628E-4</v>
      </c>
      <c r="P27" s="2">
        <f t="shared" si="7"/>
        <v>37167.1636</v>
      </c>
      <c r="Q27" s="42">
        <f t="shared" si="8"/>
        <v>2.2103124452414857E-6</v>
      </c>
      <c r="S27" s="42">
        <v>1</v>
      </c>
      <c r="T27" s="42">
        <f t="shared" si="9"/>
        <v>2.2103124452414857E-6</v>
      </c>
      <c r="AA27">
        <f t="shared" si="1"/>
        <v>9000</v>
      </c>
      <c r="AB27" s="42">
        <f t="shared" si="0"/>
        <v>5.6302446352022001E-2</v>
      </c>
    </row>
    <row r="28" spans="1:28">
      <c r="A28" s="8" t="s">
        <v>26</v>
      </c>
      <c r="B28" s="3" t="s">
        <v>27</v>
      </c>
      <c r="C28" s="31">
        <v>52895.322</v>
      </c>
      <c r="D28" s="31">
        <v>2.0000000000000001E-4</v>
      </c>
      <c r="E28">
        <f t="shared" si="2"/>
        <v>1457.0004784131531</v>
      </c>
      <c r="F28">
        <f t="shared" si="3"/>
        <v>1457</v>
      </c>
      <c r="G28">
        <f t="shared" si="4"/>
        <v>7.2390000423183665E-4</v>
      </c>
      <c r="I28">
        <f>+G28</f>
        <v>7.2390000423183665E-4</v>
      </c>
      <c r="N28">
        <f t="shared" ca="1" si="5"/>
        <v>1.4824675533903567E-3</v>
      </c>
      <c r="O28" s="40">
        <f t="shared" si="6"/>
        <v>6.3549160936914452E-4</v>
      </c>
      <c r="P28" s="2">
        <f t="shared" si="7"/>
        <v>37876.822</v>
      </c>
      <c r="Q28" s="42">
        <f t="shared" si="8"/>
        <v>7.8160442821976881E-9</v>
      </c>
      <c r="S28" s="42">
        <v>1</v>
      </c>
      <c r="T28" s="42">
        <f t="shared" si="9"/>
        <v>7.8160442821976881E-9</v>
      </c>
      <c r="AA28">
        <f t="shared" si="1"/>
        <v>9500</v>
      </c>
      <c r="AB28" s="42">
        <f t="shared" si="0"/>
        <v>6.3566983261977253E-2</v>
      </c>
    </row>
    <row r="29" spans="1:28">
      <c r="A29" s="8" t="s">
        <v>26</v>
      </c>
      <c r="B29" s="3" t="s">
        <v>27</v>
      </c>
      <c r="C29" s="31">
        <v>52901.374000000003</v>
      </c>
      <c r="D29" s="31">
        <v>1E-4</v>
      </c>
      <c r="E29">
        <f t="shared" si="2"/>
        <v>1461.0001418915685</v>
      </c>
      <c r="F29">
        <f t="shared" si="3"/>
        <v>1461</v>
      </c>
      <c r="G29">
        <f t="shared" si="4"/>
        <v>2.1470000501722097E-4</v>
      </c>
      <c r="I29">
        <f>+G29</f>
        <v>2.1470000501722097E-4</v>
      </c>
      <c r="N29">
        <f t="shared" ca="1" si="5"/>
        <v>1.485704203215634E-3</v>
      </c>
      <c r="O29" s="40">
        <f t="shared" si="6"/>
        <v>6.3820685324525624E-4</v>
      </c>
      <c r="P29" s="2">
        <f t="shared" si="7"/>
        <v>37882.874000000003</v>
      </c>
      <c r="Q29" s="42">
        <f t="shared" si="8"/>
        <v>1.793580504960441E-7</v>
      </c>
      <c r="S29" s="42">
        <v>1</v>
      </c>
      <c r="T29" s="42">
        <f t="shared" si="9"/>
        <v>1.793580504960441E-7</v>
      </c>
      <c r="AA29">
        <f t="shared" si="1"/>
        <v>10000</v>
      </c>
      <c r="AB29" s="42">
        <f t="shared" si="0"/>
        <v>7.1275951658612086E-2</v>
      </c>
    </row>
    <row r="30" spans="1:28">
      <c r="A30" s="8" t="s">
        <v>29</v>
      </c>
      <c r="B30" s="3" t="s">
        <v>27</v>
      </c>
      <c r="C30" s="8">
        <v>52928.610699999997</v>
      </c>
      <c r="D30" s="8">
        <v>1.4E-3</v>
      </c>
      <c r="E30">
        <f t="shared" si="2"/>
        <v>1479.0004119283287</v>
      </c>
      <c r="F30">
        <f t="shared" si="3"/>
        <v>1479</v>
      </c>
      <c r="G30">
        <f t="shared" si="4"/>
        <v>6.2330000218935311E-4</v>
      </c>
      <c r="J30">
        <f>+G30</f>
        <v>6.2330000218935311E-4</v>
      </c>
      <c r="N30">
        <f t="shared" ca="1" si="5"/>
        <v>1.5002691274293818E-3</v>
      </c>
      <c r="O30" s="40">
        <f t="shared" si="6"/>
        <v>6.5077744042520754E-4</v>
      </c>
      <c r="P30" s="2">
        <f t="shared" si="7"/>
        <v>37910.110699999997</v>
      </c>
      <c r="Q30" s="42">
        <f t="shared" si="8"/>
        <v>7.5500961200519518E-10</v>
      </c>
      <c r="S30" s="42">
        <v>1</v>
      </c>
      <c r="T30" s="42">
        <f t="shared" si="9"/>
        <v>7.5500961200519518E-10</v>
      </c>
      <c r="AA30">
        <f t="shared" si="1"/>
        <v>10500</v>
      </c>
      <c r="AB30" s="42">
        <f t="shared" si="0"/>
        <v>7.9429351541926513E-2</v>
      </c>
    </row>
    <row r="31" spans="1:28">
      <c r="A31" s="8" t="s">
        <v>29</v>
      </c>
      <c r="B31" s="3" t="s">
        <v>28</v>
      </c>
      <c r="C31" s="8">
        <v>53207.780200000001</v>
      </c>
      <c r="D31" s="8">
        <v>2.0000000000000001E-4</v>
      </c>
      <c r="E31">
        <f t="shared" si="2"/>
        <v>1663.4987684116225</v>
      </c>
      <c r="F31">
        <f t="shared" si="3"/>
        <v>1663.5</v>
      </c>
      <c r="G31">
        <f t="shared" si="4"/>
        <v>-1.8635499945958145E-3</v>
      </c>
      <c r="J31">
        <f>+G31</f>
        <v>-1.8635499945958145E-3</v>
      </c>
      <c r="N31">
        <f t="shared" ca="1" si="5"/>
        <v>1.6495596006202977E-3</v>
      </c>
      <c r="O31" s="40">
        <f t="shared" si="6"/>
        <v>8.1283499078312841E-4</v>
      </c>
      <c r="P31" s="2">
        <f t="shared" si="7"/>
        <v>38189.280200000001</v>
      </c>
      <c r="Q31" s="42">
        <f t="shared" si="8"/>
        <v>7.1630365899618444E-6</v>
      </c>
      <c r="S31" s="42">
        <v>1</v>
      </c>
      <c r="T31" s="42">
        <f t="shared" si="9"/>
        <v>7.1630365899618444E-6</v>
      </c>
      <c r="AA31">
        <f t="shared" si="1"/>
        <v>11000</v>
      </c>
      <c r="AB31" s="42">
        <f t="shared" si="0"/>
        <v>8.8027182911920521E-2</v>
      </c>
    </row>
    <row r="32" spans="1:28">
      <c r="A32" s="8" t="s">
        <v>29</v>
      </c>
      <c r="B32" s="3" t="s">
        <v>27</v>
      </c>
      <c r="C32" s="8">
        <v>53226.696600000003</v>
      </c>
      <c r="D32" s="8">
        <v>2.0000000000000001E-4</v>
      </c>
      <c r="E32">
        <f t="shared" si="2"/>
        <v>1676.0002942250831</v>
      </c>
      <c r="F32">
        <f t="shared" si="3"/>
        <v>1676</v>
      </c>
      <c r="G32">
        <f t="shared" si="4"/>
        <v>4.4520000665215775E-4</v>
      </c>
      <c r="J32">
        <f>+G32</f>
        <v>4.4520000665215775E-4</v>
      </c>
      <c r="N32">
        <f t="shared" ca="1" si="5"/>
        <v>1.6596741313242894E-3</v>
      </c>
      <c r="O32" s="40">
        <f t="shared" si="6"/>
        <v>8.2600332468686297E-4</v>
      </c>
      <c r="P32" s="2">
        <f t="shared" si="7"/>
        <v>38208.196600000003</v>
      </c>
      <c r="Q32" s="42">
        <f t="shared" si="8"/>
        <v>1.4501116702624084E-7</v>
      </c>
      <c r="S32" s="42">
        <v>1</v>
      </c>
      <c r="T32" s="42">
        <f t="shared" si="9"/>
        <v>1.4501116702624084E-7</v>
      </c>
      <c r="AA32">
        <f t="shared" si="1"/>
        <v>11500</v>
      </c>
      <c r="AB32" s="42">
        <f t="shared" si="0"/>
        <v>9.7069445768594109E-2</v>
      </c>
    </row>
    <row r="33" spans="1:28">
      <c r="A33" s="8" t="s">
        <v>26</v>
      </c>
      <c r="B33" s="3" t="s">
        <v>27</v>
      </c>
      <c r="C33" s="31">
        <v>53246.366300000002</v>
      </c>
      <c r="D33" s="31">
        <v>5.0000000000000001E-4</v>
      </c>
      <c r="E33">
        <f t="shared" si="2"/>
        <v>1688.9996631479744</v>
      </c>
      <c r="F33">
        <f t="shared" si="3"/>
        <v>1689</v>
      </c>
      <c r="G33">
        <f t="shared" si="4"/>
        <v>-5.0969999574590474E-4</v>
      </c>
      <c r="I33">
        <f>+G33</f>
        <v>-5.0969999574590474E-4</v>
      </c>
      <c r="N33">
        <f t="shared" ca="1" si="5"/>
        <v>1.6701932432564405E-3</v>
      </c>
      <c r="O33" s="40">
        <f t="shared" si="6"/>
        <v>8.3999305002241528E-4</v>
      </c>
      <c r="P33" s="2">
        <f t="shared" si="7"/>
        <v>38227.866300000002</v>
      </c>
      <c r="Q33" s="42">
        <f t="shared" si="8"/>
        <v>1.8216713177953645E-6</v>
      </c>
      <c r="S33" s="42">
        <v>1</v>
      </c>
      <c r="T33" s="42">
        <f t="shared" si="9"/>
        <v>1.8216713177953645E-6</v>
      </c>
      <c r="AA33">
        <f t="shared" si="1"/>
        <v>12000</v>
      </c>
      <c r="AB33" s="42">
        <f t="shared" si="0"/>
        <v>0.10655614011194729</v>
      </c>
    </row>
    <row r="34" spans="1:28">
      <c r="A34" s="8" t="s">
        <v>29</v>
      </c>
      <c r="B34" s="3" t="s">
        <v>27</v>
      </c>
      <c r="C34" s="8">
        <v>53270.575700000001</v>
      </c>
      <c r="D34" s="8">
        <v>2.0000000000000001E-4</v>
      </c>
      <c r="E34">
        <f t="shared" si="2"/>
        <v>1704.9992422977259</v>
      </c>
      <c r="F34">
        <f t="shared" si="3"/>
        <v>1705</v>
      </c>
      <c r="G34">
        <f t="shared" si="4"/>
        <v>-1.1464999988675117E-3</v>
      </c>
      <c r="J34">
        <f t="shared" ref="J34:J42" si="10">+G34</f>
        <v>-1.1464999988675117E-3</v>
      </c>
      <c r="N34">
        <f t="shared" ca="1" si="5"/>
        <v>1.6831398425575499E-3</v>
      </c>
      <c r="O34" s="40">
        <f t="shared" si="6"/>
        <v>8.5762360593196483E-4</v>
      </c>
      <c r="P34" s="2">
        <f t="shared" si="7"/>
        <v>38252.075700000001</v>
      </c>
      <c r="Q34" s="42">
        <f t="shared" si="8"/>
        <v>4.0165114233144483E-6</v>
      </c>
      <c r="S34" s="42">
        <v>1</v>
      </c>
      <c r="T34" s="42">
        <f t="shared" si="9"/>
        <v>4.0165114233144483E-6</v>
      </c>
      <c r="AA34">
        <f t="shared" si="1"/>
        <v>12500</v>
      </c>
      <c r="AB34" s="42">
        <f t="shared" si="0"/>
        <v>0.11648726594198004</v>
      </c>
    </row>
    <row r="35" spans="1:28">
      <c r="A35" s="29" t="s">
        <v>41</v>
      </c>
      <c r="B35" s="30" t="s">
        <v>27</v>
      </c>
      <c r="C35" s="29">
        <v>54443.255879999997</v>
      </c>
      <c r="D35" s="29">
        <v>5.0000000000000001E-4</v>
      </c>
      <c r="E35">
        <f t="shared" si="2"/>
        <v>2480.003552906619</v>
      </c>
      <c r="F35">
        <f t="shared" si="3"/>
        <v>2480</v>
      </c>
      <c r="G35">
        <f t="shared" si="4"/>
        <v>5.37600000097882E-3</v>
      </c>
      <c r="J35">
        <f t="shared" si="10"/>
        <v>5.37600000097882E-3</v>
      </c>
      <c r="N35">
        <f t="shared" ca="1" si="5"/>
        <v>2.3102407462050286E-3</v>
      </c>
      <c r="O35" s="40">
        <f t="shared" si="6"/>
        <v>2.2564988820442636E-3</v>
      </c>
      <c r="P35" s="2">
        <f t="shared" si="7"/>
        <v>39424.755879999997</v>
      </c>
      <c r="Q35" s="42">
        <f t="shared" si="8"/>
        <v>9.7312872310339494E-6</v>
      </c>
      <c r="S35" s="42">
        <v>1</v>
      </c>
      <c r="T35" s="42">
        <f t="shared" si="9"/>
        <v>9.7312872310339494E-6</v>
      </c>
      <c r="AA35">
        <f t="shared" si="1"/>
        <v>13000</v>
      </c>
      <c r="AB35" s="42">
        <f t="shared" si="0"/>
        <v>0.12686282325869241</v>
      </c>
    </row>
    <row r="36" spans="1:28">
      <c r="A36" s="29" t="s">
        <v>41</v>
      </c>
      <c r="B36" s="30" t="s">
        <v>27</v>
      </c>
      <c r="C36" s="29">
        <v>54443.256479999996</v>
      </c>
      <c r="D36" s="29">
        <v>8.9999999999999998E-4</v>
      </c>
      <c r="E36">
        <f t="shared" si="2"/>
        <v>2480.003949436375</v>
      </c>
      <c r="F36">
        <f t="shared" si="3"/>
        <v>2480</v>
      </c>
      <c r="G36">
        <f t="shared" si="4"/>
        <v>5.9760000003734604E-3</v>
      </c>
      <c r="J36">
        <f t="shared" si="10"/>
        <v>5.9760000003734604E-3</v>
      </c>
      <c r="N36">
        <f t="shared" ca="1" si="5"/>
        <v>2.3102407462050286E-3</v>
      </c>
      <c r="O36" s="40">
        <f t="shared" si="6"/>
        <v>2.2564988820442636E-3</v>
      </c>
      <c r="P36" s="2">
        <f t="shared" si="7"/>
        <v>39424.756479999996</v>
      </c>
      <c r="Q36" s="42">
        <f t="shared" si="8"/>
        <v>1.3834688569252145E-5</v>
      </c>
      <c r="S36" s="42">
        <v>1</v>
      </c>
      <c r="T36" s="42">
        <f t="shared" si="9"/>
        <v>1.3834688569252145E-5</v>
      </c>
      <c r="AA36">
        <f t="shared" si="1"/>
        <v>13500</v>
      </c>
      <c r="AB36" s="42">
        <f t="shared" si="0"/>
        <v>0.13768281206208433</v>
      </c>
    </row>
    <row r="37" spans="1:28">
      <c r="A37" s="29" t="s">
        <v>41</v>
      </c>
      <c r="B37" s="30" t="s">
        <v>27</v>
      </c>
      <c r="C37" s="29">
        <v>54691.407039999998</v>
      </c>
      <c r="D37" s="29">
        <v>5.9999999999999995E-4</v>
      </c>
      <c r="E37">
        <f t="shared" si="2"/>
        <v>2644.0024180384562</v>
      </c>
      <c r="F37">
        <f t="shared" si="3"/>
        <v>2644</v>
      </c>
      <c r="G37">
        <f t="shared" si="4"/>
        <v>3.6588000002666377E-3</v>
      </c>
      <c r="J37">
        <f t="shared" si="10"/>
        <v>3.6588000002666377E-3</v>
      </c>
      <c r="N37">
        <f t="shared" ca="1" si="5"/>
        <v>2.4429433890413984E-3</v>
      </c>
      <c r="O37" s="40">
        <f t="shared" si="6"/>
        <v>2.689400282918608E-3</v>
      </c>
      <c r="P37" s="2">
        <f t="shared" si="7"/>
        <v>39672.907039999998</v>
      </c>
      <c r="Q37" s="42">
        <f t="shared" si="8"/>
        <v>9.3973581199443973E-7</v>
      </c>
      <c r="S37" s="42">
        <v>1</v>
      </c>
      <c r="T37" s="42">
        <f t="shared" si="9"/>
        <v>9.3973581199443973E-7</v>
      </c>
      <c r="AA37">
        <f t="shared" si="1"/>
        <v>14000</v>
      </c>
      <c r="AB37" s="42">
        <f t="shared" si="0"/>
        <v>0.14894723235215585</v>
      </c>
    </row>
    <row r="38" spans="1:28">
      <c r="A38" s="29" t="s">
        <v>41</v>
      </c>
      <c r="B38" s="30" t="s">
        <v>27</v>
      </c>
      <c r="C38" s="29">
        <v>54691.408940000001</v>
      </c>
      <c r="D38" s="29">
        <v>5.0000000000000001E-4</v>
      </c>
      <c r="E38">
        <f t="shared" si="2"/>
        <v>2644.0036737160208</v>
      </c>
      <c r="F38">
        <f t="shared" si="3"/>
        <v>2644</v>
      </c>
      <c r="G38">
        <f t="shared" si="4"/>
        <v>5.5588000032003038E-3</v>
      </c>
      <c r="J38">
        <f t="shared" si="10"/>
        <v>5.5588000032003038E-3</v>
      </c>
      <c r="N38">
        <f t="shared" ca="1" si="5"/>
        <v>2.4429433890413984E-3</v>
      </c>
      <c r="O38" s="40">
        <f t="shared" si="6"/>
        <v>2.689400282918608E-3</v>
      </c>
      <c r="P38" s="2">
        <f t="shared" si="7"/>
        <v>39672.908940000001</v>
      </c>
      <c r="Q38" s="42">
        <f t="shared" si="8"/>
        <v>8.2334547547526743E-6</v>
      </c>
      <c r="S38" s="42">
        <v>1</v>
      </c>
      <c r="T38" s="42">
        <f t="shared" si="9"/>
        <v>8.2334547547526743E-6</v>
      </c>
      <c r="AA38">
        <f t="shared" si="1"/>
        <v>14500</v>
      </c>
      <c r="AB38" s="42">
        <f t="shared" si="0"/>
        <v>0.16065608412890697</v>
      </c>
    </row>
    <row r="39" spans="1:28">
      <c r="A39" s="29" t="s">
        <v>41</v>
      </c>
      <c r="B39" s="30" t="s">
        <v>27</v>
      </c>
      <c r="C39" s="29">
        <v>54691.409740000003</v>
      </c>
      <c r="D39" s="29">
        <v>4.0000000000000002E-4</v>
      </c>
      <c r="E39">
        <f t="shared" si="2"/>
        <v>2644.004202422364</v>
      </c>
      <c r="F39">
        <f t="shared" si="3"/>
        <v>2644</v>
      </c>
      <c r="G39">
        <f t="shared" si="4"/>
        <v>6.3588000048184767E-3</v>
      </c>
      <c r="J39">
        <f t="shared" si="10"/>
        <v>6.3588000048184767E-3</v>
      </c>
      <c r="N39">
        <f t="shared" ca="1" si="5"/>
        <v>2.4429433890413984E-3</v>
      </c>
      <c r="O39" s="40">
        <f t="shared" si="6"/>
        <v>2.689400282918608E-3</v>
      </c>
      <c r="P39" s="2">
        <f t="shared" si="7"/>
        <v>39672.909740000003</v>
      </c>
      <c r="Q39" s="42">
        <f t="shared" si="8"/>
        <v>1.3464494319078834E-5</v>
      </c>
      <c r="S39" s="42">
        <v>1</v>
      </c>
      <c r="T39" s="42">
        <f t="shared" si="9"/>
        <v>1.3464494319078834E-5</v>
      </c>
    </row>
    <row r="40" spans="1:28">
      <c r="A40" s="44" t="s">
        <v>51</v>
      </c>
      <c r="B40" s="45" t="s">
        <v>27</v>
      </c>
      <c r="C40" s="46">
        <v>56596.435510000003</v>
      </c>
      <c r="D40" s="44">
        <v>5.9999999999999995E-4</v>
      </c>
      <c r="E40">
        <f t="shared" si="2"/>
        <v>3903.0032106353547</v>
      </c>
      <c r="F40">
        <f t="shared" si="3"/>
        <v>3903</v>
      </c>
      <c r="G40">
        <f t="shared" si="4"/>
        <v>4.8581000082776882E-3</v>
      </c>
      <c r="J40">
        <f t="shared" si="10"/>
        <v>4.8581000082776882E-3</v>
      </c>
      <c r="N40">
        <f t="shared" ca="1" si="5"/>
        <v>3.4616789215474318E-3</v>
      </c>
      <c r="O40" s="40">
        <f t="shared" si="6"/>
        <v>7.6051591093981193E-3</v>
      </c>
      <c r="P40" s="2">
        <f t="shared" si="7"/>
        <v>41577.935510000003</v>
      </c>
      <c r="Q40" s="42">
        <f t="shared" si="8"/>
        <v>7.5463337050485907E-6</v>
      </c>
      <c r="S40" s="42">
        <v>4</v>
      </c>
      <c r="T40" s="42">
        <f t="shared" si="9"/>
        <v>3.0185334820194363E-5</v>
      </c>
    </row>
    <row r="41" spans="1:28">
      <c r="A41" s="44" t="s">
        <v>51</v>
      </c>
      <c r="B41" s="45" t="s">
        <v>27</v>
      </c>
      <c r="C41" s="46">
        <v>56596.437449999998</v>
      </c>
      <c r="D41" s="44">
        <v>6.9999999999999999E-4</v>
      </c>
      <c r="E41">
        <f t="shared" si="2"/>
        <v>3903.0044927482309</v>
      </c>
      <c r="F41">
        <f t="shared" si="3"/>
        <v>3903</v>
      </c>
      <c r="G41">
        <f t="shared" si="4"/>
        <v>6.7981000029249117E-3</v>
      </c>
      <c r="J41">
        <f t="shared" si="10"/>
        <v>6.7981000029249117E-3</v>
      </c>
      <c r="N41">
        <f t="shared" ca="1" si="5"/>
        <v>3.4616789215474318E-3</v>
      </c>
      <c r="O41" s="40">
        <f t="shared" si="6"/>
        <v>7.6051591093981193E-3</v>
      </c>
      <c r="P41" s="2">
        <f t="shared" si="7"/>
        <v>41577.937449999998</v>
      </c>
      <c r="Q41" s="42">
        <f t="shared" si="8"/>
        <v>6.5134440134133219E-7</v>
      </c>
      <c r="S41" s="42">
        <v>2</v>
      </c>
      <c r="T41" s="42">
        <f t="shared" si="9"/>
        <v>1.3026888026826644E-6</v>
      </c>
    </row>
    <row r="42" spans="1:28">
      <c r="A42" s="44" t="s">
        <v>51</v>
      </c>
      <c r="B42" s="45" t="s">
        <v>27</v>
      </c>
      <c r="C42" s="46">
        <v>56596.440649999997</v>
      </c>
      <c r="D42" s="44">
        <v>1E-3</v>
      </c>
      <c r="E42">
        <f t="shared" si="2"/>
        <v>3903.006607573599</v>
      </c>
      <c r="F42">
        <f t="shared" si="3"/>
        <v>3903</v>
      </c>
      <c r="G42">
        <f t="shared" si="4"/>
        <v>9.998100002121646E-3</v>
      </c>
      <c r="J42">
        <f t="shared" si="10"/>
        <v>9.998100002121646E-3</v>
      </c>
      <c r="N42">
        <f t="shared" ca="1" si="5"/>
        <v>3.4616789215474318E-3</v>
      </c>
      <c r="O42" s="40">
        <f t="shared" si="6"/>
        <v>7.6051591093981193E-3</v>
      </c>
      <c r="P42" s="2">
        <f t="shared" si="7"/>
        <v>41577.940649999997</v>
      </c>
      <c r="Q42" s="42">
        <f t="shared" si="8"/>
        <v>5.7261661160684689E-6</v>
      </c>
      <c r="S42" s="42">
        <v>3</v>
      </c>
      <c r="T42" s="42">
        <f t="shared" si="9"/>
        <v>1.7178498348205405E-5</v>
      </c>
    </row>
    <row r="43" spans="1:28">
      <c r="A43" s="62" t="s">
        <v>132</v>
      </c>
      <c r="B43" s="63" t="s">
        <v>27</v>
      </c>
      <c r="C43" s="64">
        <v>59123.350999999791</v>
      </c>
      <c r="D43" s="65">
        <v>8.0000000000000002E-3</v>
      </c>
      <c r="E43">
        <f t="shared" ref="E43:E44" si="11">+(C43-C$7)/C$8</f>
        <v>5572.9985177055451</v>
      </c>
      <c r="F43">
        <f t="shared" ref="F43:F44" si="12">ROUND(2*E43,0)/2</f>
        <v>5573</v>
      </c>
      <c r="G43">
        <f t="shared" ref="G43:G44" si="13">+C43-(C$7+F43*C$8)</f>
        <v>-2.2429002056014724E-3</v>
      </c>
      <c r="J43">
        <f t="shared" ref="J43:J44" si="14">+G43</f>
        <v>-2.2429002056014724E-3</v>
      </c>
      <c r="N43">
        <f t="shared" ref="N43:N44" ca="1" si="15">+C$11+C$12*$F43</f>
        <v>4.8129802236007088E-3</v>
      </c>
      <c r="O43" s="40">
        <f t="shared" ref="O43:O44" si="16">+D$11+D$12*F43+D$13*F43^2</f>
        <v>1.847347627108804E-2</v>
      </c>
      <c r="P43" s="2">
        <f t="shared" ref="P43:P44" si="17">+C43-15018.5</f>
        <v>44104.850999999791</v>
      </c>
      <c r="Q43" s="42">
        <f t="shared" ref="Q43:Q44" si="18">+(O43-G43)^2</f>
        <v>4.2916825432393459E-4</v>
      </c>
      <c r="S43" s="42">
        <v>3</v>
      </c>
      <c r="T43" s="42">
        <f t="shared" ref="T43:T44" si="19">+S43*Q43</f>
        <v>1.2875047629718039E-3</v>
      </c>
    </row>
    <row r="44" spans="1:28">
      <c r="A44" s="62" t="s">
        <v>132</v>
      </c>
      <c r="B44" s="63" t="s">
        <v>27</v>
      </c>
      <c r="C44" s="64">
        <v>59176.31399999978</v>
      </c>
      <c r="D44" s="65">
        <v>0.01</v>
      </c>
      <c r="E44">
        <f t="shared" si="11"/>
        <v>5608.0008602050748</v>
      </c>
      <c r="F44">
        <f t="shared" si="12"/>
        <v>5608</v>
      </c>
      <c r="G44">
        <f t="shared" si="13"/>
        <v>1.3015997828915715E-3</v>
      </c>
      <c r="J44">
        <f t="shared" si="14"/>
        <v>1.3015997828915715E-3</v>
      </c>
      <c r="N44">
        <f t="shared" ca="1" si="15"/>
        <v>4.8413009095718863E-3</v>
      </c>
      <c r="O44" s="40">
        <f t="shared" si="16"/>
        <v>1.8754298271214356E-2</v>
      </c>
      <c r="P44" s="2">
        <f t="shared" si="17"/>
        <v>44157.81399999978</v>
      </c>
      <c r="Q44" s="42">
        <f t="shared" si="18"/>
        <v>3.045966845243044E-4</v>
      </c>
      <c r="S44" s="42">
        <v>3</v>
      </c>
      <c r="T44" s="42">
        <f t="shared" si="19"/>
        <v>9.1379005357291319E-4</v>
      </c>
    </row>
    <row r="45" spans="1:28">
      <c r="B45" s="3"/>
      <c r="C45" s="8"/>
      <c r="D45" s="8"/>
    </row>
    <row r="46" spans="1:28">
      <c r="B46" s="3"/>
      <c r="C46" s="8"/>
      <c r="D46" s="8"/>
    </row>
    <row r="47" spans="1:28">
      <c r="B47" s="3"/>
      <c r="C47" s="8"/>
      <c r="D47" s="8"/>
    </row>
    <row r="48" spans="1:28">
      <c r="B48" s="3"/>
      <c r="C48" s="8"/>
      <c r="D48" s="8"/>
    </row>
    <row r="49" spans="2:4">
      <c r="B49" s="3"/>
      <c r="C49" s="8"/>
      <c r="D49" s="8"/>
    </row>
    <row r="50" spans="2:4">
      <c r="B50" s="3"/>
      <c r="C50" s="8"/>
      <c r="D50" s="8"/>
    </row>
    <row r="51" spans="2:4">
      <c r="B51" s="3"/>
      <c r="C51" s="8"/>
      <c r="D51" s="8"/>
    </row>
    <row r="52" spans="2:4">
      <c r="B52" s="3"/>
      <c r="C52" s="8"/>
      <c r="D52" s="8"/>
    </row>
    <row r="53" spans="2:4">
      <c r="B53" s="3"/>
      <c r="C53" s="8"/>
      <c r="D53" s="8"/>
    </row>
    <row r="54" spans="2:4">
      <c r="B54" s="3"/>
      <c r="C54" s="8"/>
      <c r="D54" s="8"/>
    </row>
    <row r="55" spans="2:4">
      <c r="B55" s="3"/>
      <c r="C55" s="8"/>
      <c r="D55" s="8"/>
    </row>
    <row r="56" spans="2:4">
      <c r="B56" s="3"/>
      <c r="C56" s="8"/>
      <c r="D56" s="8"/>
    </row>
    <row r="57" spans="2:4">
      <c r="B57" s="3"/>
      <c r="C57" s="8"/>
      <c r="D57" s="8"/>
    </row>
    <row r="58" spans="2:4">
      <c r="B58" s="3"/>
      <c r="C58" s="8"/>
      <c r="D58" s="8"/>
    </row>
    <row r="59" spans="2:4">
      <c r="B59" s="3"/>
      <c r="C59" s="8"/>
      <c r="D59" s="8"/>
    </row>
    <row r="60" spans="2:4">
      <c r="B60" s="3"/>
      <c r="C60" s="8"/>
      <c r="D60" s="8"/>
    </row>
    <row r="61" spans="2:4">
      <c r="B61" s="3"/>
      <c r="C61" s="8"/>
      <c r="D61" s="8"/>
    </row>
    <row r="62" spans="2:4">
      <c r="B62" s="3"/>
      <c r="C62" s="8"/>
      <c r="D62" s="8"/>
    </row>
    <row r="63" spans="2:4">
      <c r="B63" s="3"/>
      <c r="C63" s="8"/>
      <c r="D63" s="8"/>
    </row>
    <row r="64" spans="2:4">
      <c r="B64" s="3"/>
      <c r="C64" s="8"/>
      <c r="D64" s="8"/>
    </row>
    <row r="65" spans="2:4">
      <c r="B65" s="3"/>
      <c r="C65" s="8"/>
      <c r="D65" s="8"/>
    </row>
    <row r="66" spans="2:4">
      <c r="B66" s="3"/>
      <c r="C66" s="8"/>
      <c r="D66" s="8"/>
    </row>
    <row r="67" spans="2:4">
      <c r="B67" s="3"/>
      <c r="C67" s="8"/>
      <c r="D67" s="8"/>
    </row>
    <row r="68" spans="2:4">
      <c r="B68" s="3"/>
      <c r="C68" s="8"/>
      <c r="D68" s="8"/>
    </row>
    <row r="69" spans="2:4">
      <c r="B69" s="3"/>
      <c r="C69" s="8"/>
      <c r="D69" s="8"/>
    </row>
    <row r="70" spans="2:4">
      <c r="B70" s="3"/>
      <c r="C70" s="8"/>
      <c r="D70" s="8"/>
    </row>
    <row r="71" spans="2:4">
      <c r="B71" s="3"/>
      <c r="C71" s="8"/>
      <c r="D71" s="8"/>
    </row>
    <row r="72" spans="2:4">
      <c r="B72" s="3"/>
      <c r="C72" s="8"/>
      <c r="D72" s="8"/>
    </row>
    <row r="73" spans="2:4">
      <c r="B73" s="3"/>
      <c r="C73" s="8"/>
      <c r="D73" s="8"/>
    </row>
    <row r="74" spans="2:4">
      <c r="B74" s="3"/>
      <c r="C74" s="8"/>
      <c r="D74" s="8"/>
    </row>
    <row r="75" spans="2:4">
      <c r="B75" s="3"/>
      <c r="C75" s="8"/>
      <c r="D75" s="8"/>
    </row>
    <row r="76" spans="2:4">
      <c r="B76" s="3"/>
      <c r="C76" s="8"/>
      <c r="D76" s="8"/>
    </row>
    <row r="77" spans="2:4">
      <c r="B77" s="3"/>
      <c r="C77" s="8"/>
      <c r="D77" s="8"/>
    </row>
    <row r="78" spans="2:4">
      <c r="B78" s="3"/>
      <c r="C78" s="8"/>
      <c r="D78" s="8"/>
    </row>
    <row r="79" spans="2:4">
      <c r="B79" s="3"/>
      <c r="C79" s="8"/>
      <c r="D79" s="8"/>
    </row>
    <row r="80" spans="2:4">
      <c r="B80" s="3"/>
      <c r="C80" s="8"/>
      <c r="D80" s="8"/>
    </row>
    <row r="81" spans="2:4">
      <c r="B81" s="3"/>
      <c r="C81" s="8"/>
      <c r="D81" s="8"/>
    </row>
    <row r="82" spans="2:4">
      <c r="B82" s="3"/>
      <c r="C82" s="8"/>
      <c r="D82" s="8"/>
    </row>
    <row r="83" spans="2:4">
      <c r="B83" s="3"/>
      <c r="C83" s="8"/>
      <c r="D83" s="8"/>
    </row>
    <row r="84" spans="2:4">
      <c r="B84" s="3"/>
      <c r="C84" s="8"/>
      <c r="D84" s="8"/>
    </row>
    <row r="85" spans="2:4">
      <c r="B85" s="3"/>
      <c r="C85" s="8"/>
      <c r="D85" s="8"/>
    </row>
    <row r="86" spans="2:4">
      <c r="B86" s="3"/>
      <c r="C86" s="8"/>
      <c r="D86" s="8"/>
    </row>
    <row r="87" spans="2:4">
      <c r="B87" s="3"/>
      <c r="C87" s="8"/>
      <c r="D87" s="8"/>
    </row>
    <row r="88" spans="2:4">
      <c r="B88" s="3"/>
      <c r="C88" s="8"/>
      <c r="D88" s="8"/>
    </row>
    <row r="89" spans="2:4">
      <c r="B89" s="3"/>
      <c r="C89" s="8"/>
      <c r="D89" s="8"/>
    </row>
    <row r="90" spans="2:4">
      <c r="B90" s="3"/>
      <c r="C90" s="8"/>
      <c r="D90" s="8"/>
    </row>
    <row r="91" spans="2:4">
      <c r="B91" s="3"/>
      <c r="C91" s="8"/>
      <c r="D91" s="8"/>
    </row>
    <row r="92" spans="2:4">
      <c r="B92" s="3"/>
      <c r="C92" s="8"/>
      <c r="D92" s="8"/>
    </row>
    <row r="93" spans="2:4">
      <c r="B93" s="3"/>
      <c r="C93" s="8"/>
      <c r="D93" s="8"/>
    </row>
    <row r="94" spans="2:4">
      <c r="B94" s="3"/>
      <c r="C94" s="8"/>
      <c r="D94" s="8"/>
    </row>
    <row r="95" spans="2:4">
      <c r="B95" s="3"/>
      <c r="C95" s="8"/>
      <c r="D95" s="8"/>
    </row>
    <row r="96" spans="2:4">
      <c r="B96" s="3"/>
      <c r="C96" s="8"/>
      <c r="D96" s="8"/>
    </row>
    <row r="97" spans="2:4">
      <c r="B97" s="3"/>
      <c r="C97" s="8"/>
      <c r="D97" s="8"/>
    </row>
    <row r="98" spans="2:4">
      <c r="B98" s="3"/>
      <c r="C98" s="8"/>
      <c r="D98" s="8"/>
    </row>
    <row r="99" spans="2:4">
      <c r="B99" s="3"/>
      <c r="C99" s="8"/>
      <c r="D99" s="8"/>
    </row>
    <row r="100" spans="2:4">
      <c r="B100" s="3"/>
      <c r="C100" s="8"/>
      <c r="D100" s="8"/>
    </row>
    <row r="101" spans="2:4">
      <c r="B101" s="3"/>
      <c r="C101" s="8"/>
      <c r="D101" s="8"/>
    </row>
    <row r="102" spans="2:4">
      <c r="B102" s="3"/>
      <c r="C102" s="8"/>
      <c r="D102" s="8"/>
    </row>
    <row r="103" spans="2:4">
      <c r="B103" s="3"/>
      <c r="C103" s="8"/>
      <c r="D103" s="8"/>
    </row>
    <row r="104" spans="2:4">
      <c r="B104" s="3"/>
      <c r="C104" s="8"/>
      <c r="D104" s="8"/>
    </row>
    <row r="105" spans="2:4">
      <c r="B105" s="3"/>
      <c r="C105" s="8"/>
      <c r="D105" s="8"/>
    </row>
    <row r="106" spans="2:4">
      <c r="B106" s="3"/>
      <c r="C106" s="8"/>
      <c r="D106" s="8"/>
    </row>
    <row r="107" spans="2:4">
      <c r="B107" s="3"/>
      <c r="C107" s="8"/>
      <c r="D107" s="8"/>
    </row>
    <row r="108" spans="2:4">
      <c r="B108" s="3"/>
      <c r="C108" s="8"/>
      <c r="D108" s="8"/>
    </row>
    <row r="109" spans="2:4">
      <c r="B109" s="3"/>
      <c r="C109" s="8"/>
      <c r="D109" s="8"/>
    </row>
    <row r="110" spans="2:4">
      <c r="B110" s="3"/>
      <c r="C110" s="8"/>
      <c r="D110" s="8"/>
    </row>
    <row r="111" spans="2:4">
      <c r="B111" s="3"/>
      <c r="C111" s="8"/>
      <c r="D111" s="8"/>
    </row>
    <row r="112" spans="2:4">
      <c r="B112" s="3"/>
      <c r="C112" s="8"/>
      <c r="D112" s="8"/>
    </row>
    <row r="113" spans="2:4">
      <c r="B113" s="3"/>
      <c r="C113" s="8"/>
      <c r="D113" s="8"/>
    </row>
    <row r="114" spans="2:4">
      <c r="B114" s="3"/>
      <c r="C114" s="8"/>
      <c r="D114" s="8"/>
    </row>
    <row r="115" spans="2:4">
      <c r="B115" s="3"/>
      <c r="C115" s="8"/>
      <c r="D115" s="8"/>
    </row>
    <row r="116" spans="2:4">
      <c r="B116" s="3"/>
      <c r="C116" s="8"/>
      <c r="D116" s="8"/>
    </row>
    <row r="117" spans="2:4">
      <c r="B117" s="3"/>
      <c r="C117" s="8"/>
      <c r="D117" s="8"/>
    </row>
    <row r="118" spans="2:4">
      <c r="B118" s="3"/>
      <c r="C118" s="8"/>
      <c r="D118" s="8"/>
    </row>
    <row r="119" spans="2:4">
      <c r="B119" s="3"/>
      <c r="C119" s="8"/>
      <c r="D119" s="8"/>
    </row>
    <row r="120" spans="2:4">
      <c r="B120" s="3"/>
      <c r="C120" s="8"/>
      <c r="D120" s="8"/>
    </row>
    <row r="121" spans="2:4">
      <c r="B121" s="3"/>
      <c r="C121" s="8"/>
      <c r="D121" s="8"/>
    </row>
    <row r="122" spans="2:4">
      <c r="B122" s="3"/>
      <c r="C122" s="8"/>
      <c r="D122" s="8"/>
    </row>
    <row r="123" spans="2:4">
      <c r="B123" s="3"/>
      <c r="C123" s="8"/>
      <c r="D123" s="8"/>
    </row>
    <row r="124" spans="2:4">
      <c r="B124" s="3"/>
      <c r="C124" s="8"/>
      <c r="D124" s="8"/>
    </row>
    <row r="125" spans="2:4">
      <c r="B125" s="3"/>
      <c r="C125" s="8"/>
      <c r="D125" s="8"/>
    </row>
    <row r="126" spans="2:4">
      <c r="B126" s="3"/>
      <c r="C126" s="8"/>
      <c r="D126" s="8"/>
    </row>
    <row r="127" spans="2:4">
      <c r="B127" s="3"/>
      <c r="C127" s="8"/>
      <c r="D127" s="8"/>
    </row>
    <row r="128" spans="2:4">
      <c r="B128" s="3"/>
      <c r="C128" s="8"/>
      <c r="D128" s="8"/>
    </row>
    <row r="129" spans="2:4">
      <c r="B129" s="3"/>
      <c r="C129" s="8"/>
      <c r="D129" s="8"/>
    </row>
    <row r="130" spans="2:4">
      <c r="B130" s="3"/>
      <c r="C130" s="8"/>
      <c r="D130" s="8"/>
    </row>
    <row r="131" spans="2:4">
      <c r="B131" s="3"/>
      <c r="C131" s="8"/>
      <c r="D131" s="8"/>
    </row>
    <row r="132" spans="2:4">
      <c r="B132" s="3"/>
      <c r="C132" s="8"/>
      <c r="D132" s="8"/>
    </row>
    <row r="133" spans="2:4">
      <c r="B133" s="3"/>
      <c r="C133" s="8"/>
      <c r="D133" s="8"/>
    </row>
    <row r="134" spans="2:4">
      <c r="B134" s="3"/>
      <c r="C134" s="8"/>
      <c r="D134" s="8"/>
    </row>
    <row r="135" spans="2:4">
      <c r="B135" s="3"/>
      <c r="C135" s="8"/>
      <c r="D135" s="8"/>
    </row>
    <row r="136" spans="2:4">
      <c r="B136" s="3"/>
      <c r="C136" s="8"/>
      <c r="D136" s="8"/>
    </row>
    <row r="137" spans="2:4">
      <c r="B137" s="3"/>
      <c r="C137" s="8"/>
      <c r="D137" s="8"/>
    </row>
    <row r="138" spans="2:4">
      <c r="B138" s="3"/>
      <c r="C138" s="8"/>
      <c r="D138" s="8"/>
    </row>
    <row r="139" spans="2:4">
      <c r="B139" s="3"/>
      <c r="C139" s="8"/>
      <c r="D139" s="8"/>
    </row>
    <row r="140" spans="2:4">
      <c r="B140" s="3"/>
      <c r="C140" s="8"/>
      <c r="D140" s="8"/>
    </row>
    <row r="141" spans="2:4">
      <c r="B141" s="3"/>
      <c r="C141" s="8"/>
      <c r="D141" s="8"/>
    </row>
    <row r="142" spans="2:4">
      <c r="B142" s="3"/>
      <c r="C142" s="8"/>
      <c r="D142" s="8"/>
    </row>
    <row r="143" spans="2:4">
      <c r="B143" s="3"/>
      <c r="C143" s="8"/>
      <c r="D143" s="8"/>
    </row>
    <row r="144" spans="2:4">
      <c r="B144" s="3"/>
      <c r="C144" s="8"/>
      <c r="D144" s="8"/>
    </row>
    <row r="145" spans="2:4">
      <c r="B145" s="3"/>
      <c r="C145" s="8"/>
      <c r="D145" s="8"/>
    </row>
    <row r="146" spans="2:4">
      <c r="B146" s="3"/>
      <c r="C146" s="8"/>
      <c r="D146" s="8"/>
    </row>
    <row r="147" spans="2:4">
      <c r="B147" s="3"/>
      <c r="C147" s="8"/>
      <c r="D147" s="8"/>
    </row>
    <row r="148" spans="2:4">
      <c r="B148" s="3"/>
      <c r="C148" s="8"/>
      <c r="D148" s="8"/>
    </row>
    <row r="149" spans="2:4">
      <c r="B149" s="3"/>
      <c r="C149" s="8"/>
      <c r="D149" s="8"/>
    </row>
    <row r="150" spans="2:4">
      <c r="B150" s="3"/>
      <c r="C150" s="8"/>
      <c r="D150" s="8"/>
    </row>
    <row r="151" spans="2:4">
      <c r="B151" s="3"/>
      <c r="C151" s="8"/>
      <c r="D151" s="8"/>
    </row>
    <row r="152" spans="2:4">
      <c r="B152" s="3"/>
      <c r="C152" s="8"/>
      <c r="D152" s="8"/>
    </row>
    <row r="153" spans="2:4">
      <c r="B153" s="3"/>
      <c r="C153" s="8"/>
      <c r="D153" s="8"/>
    </row>
    <row r="154" spans="2:4">
      <c r="B154" s="3"/>
      <c r="C154" s="8"/>
      <c r="D154" s="8"/>
    </row>
    <row r="155" spans="2:4">
      <c r="B155" s="3"/>
      <c r="C155" s="8"/>
      <c r="D155" s="8"/>
    </row>
    <row r="156" spans="2:4">
      <c r="B156" s="3"/>
    </row>
    <row r="157" spans="2:4">
      <c r="B157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topLeftCell="A6" workbookViewId="0">
      <selection activeCell="A25" sqref="A25:D29"/>
    </sheetView>
  </sheetViews>
  <sheetFormatPr defaultRowHeight="12.75"/>
  <cols>
    <col min="1" max="1" width="19.7109375" style="8" customWidth="1"/>
    <col min="2" max="2" width="4.42578125" style="9" customWidth="1"/>
    <col min="3" max="3" width="12.7109375" style="8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8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49" t="s">
        <v>52</v>
      </c>
      <c r="I1" s="50" t="s">
        <v>53</v>
      </c>
      <c r="J1" s="51" t="s">
        <v>54</v>
      </c>
    </row>
    <row r="2" spans="1:16">
      <c r="I2" s="52" t="s">
        <v>55</v>
      </c>
      <c r="J2" s="53" t="s">
        <v>56</v>
      </c>
    </row>
    <row r="3" spans="1:16">
      <c r="A3" s="54" t="s">
        <v>57</v>
      </c>
      <c r="I3" s="52" t="s">
        <v>58</v>
      </c>
      <c r="J3" s="53" t="s">
        <v>59</v>
      </c>
    </row>
    <row r="4" spans="1:16">
      <c r="I4" s="52" t="s">
        <v>60</v>
      </c>
      <c r="J4" s="53" t="s">
        <v>59</v>
      </c>
    </row>
    <row r="5" spans="1:16" ht="13.5" thickBot="1">
      <c r="I5" s="55" t="s">
        <v>61</v>
      </c>
      <c r="J5" s="56" t="s">
        <v>62</v>
      </c>
    </row>
    <row r="10" spans="1:16" ht="13.5" thickBot="1"/>
    <row r="11" spans="1:16" ht="12.75" customHeight="1" thickBot="1">
      <c r="A11" s="8" t="str">
        <f t="shared" ref="A11:A29" si="0">P11</f>
        <v>IBVS 2663 </v>
      </c>
      <c r="B11" s="3" t="str">
        <f t="shared" ref="B11:B29" si="1">IF(H11=INT(H11),"I","II")</f>
        <v>I</v>
      </c>
      <c r="C11" s="8">
        <f t="shared" ref="C11:C29" si="2">1*G11</f>
        <v>45960.675799999997</v>
      </c>
      <c r="D11" s="9" t="str">
        <f t="shared" ref="D11:D29" si="3">VLOOKUP(F11,I$1:J$5,2,FALSE)</f>
        <v>vis</v>
      </c>
      <c r="E11" s="57">
        <f>VLOOKUP(C11,Active!C$21:E$968,3,FALSE)</f>
        <v>-3125.9888047753816</v>
      </c>
      <c r="F11" s="3" t="s">
        <v>61</v>
      </c>
      <c r="G11" s="9" t="str">
        <f t="shared" ref="G11:G29" si="4">MID(I11,3,LEN(I11)-3)</f>
        <v>45960.6758</v>
      </c>
      <c r="H11" s="8">
        <f t="shared" ref="H11:H29" si="5">1*K11</f>
        <v>-4322</v>
      </c>
      <c r="I11" s="58" t="s">
        <v>63</v>
      </c>
      <c r="J11" s="59" t="s">
        <v>64</v>
      </c>
      <c r="K11" s="58">
        <v>-4322</v>
      </c>
      <c r="L11" s="58" t="s">
        <v>65</v>
      </c>
      <c r="M11" s="59" t="s">
        <v>66</v>
      </c>
      <c r="N11" s="59" t="s">
        <v>67</v>
      </c>
      <c r="O11" s="60" t="s">
        <v>68</v>
      </c>
      <c r="P11" s="61" t="s">
        <v>69</v>
      </c>
    </row>
    <row r="12" spans="1:16" ht="12.75" customHeight="1" thickBot="1">
      <c r="A12" s="8" t="str">
        <f t="shared" si="0"/>
        <v>IBVS 2663 </v>
      </c>
      <c r="B12" s="3" t="str">
        <f t="shared" si="1"/>
        <v>I</v>
      </c>
      <c r="C12" s="8">
        <f t="shared" si="2"/>
        <v>45963.698600000003</v>
      </c>
      <c r="D12" s="9" t="str">
        <f t="shared" si="3"/>
        <v>vis</v>
      </c>
      <c r="E12" s="57">
        <f>VLOOKUP(C12,Active!C$21:E$968,3,FALSE)</f>
        <v>-3123.9910878615397</v>
      </c>
      <c r="F12" s="3" t="s">
        <v>61</v>
      </c>
      <c r="G12" s="9" t="str">
        <f t="shared" si="4"/>
        <v>45963.6986</v>
      </c>
      <c r="H12" s="8">
        <f t="shared" si="5"/>
        <v>-4320</v>
      </c>
      <c r="I12" s="58" t="s">
        <v>70</v>
      </c>
      <c r="J12" s="59" t="s">
        <v>71</v>
      </c>
      <c r="K12" s="58">
        <v>-4320</v>
      </c>
      <c r="L12" s="58" t="s">
        <v>72</v>
      </c>
      <c r="M12" s="59" t="s">
        <v>66</v>
      </c>
      <c r="N12" s="59" t="s">
        <v>67</v>
      </c>
      <c r="O12" s="60" t="s">
        <v>68</v>
      </c>
      <c r="P12" s="61" t="s">
        <v>69</v>
      </c>
    </row>
    <row r="13" spans="1:16" ht="12.75" customHeight="1" thickBot="1">
      <c r="A13" s="8" t="str">
        <f t="shared" si="0"/>
        <v>IBVS 2663 </v>
      </c>
      <c r="B13" s="3" t="str">
        <f t="shared" si="1"/>
        <v>I</v>
      </c>
      <c r="C13" s="8">
        <f t="shared" si="2"/>
        <v>46010.610099999998</v>
      </c>
      <c r="D13" s="9" t="str">
        <f t="shared" si="3"/>
        <v>vis</v>
      </c>
      <c r="E13" s="57">
        <f>VLOOKUP(C13,Active!C$21:E$968,3,FALSE)</f>
        <v>-3092.9880783989552</v>
      </c>
      <c r="F13" s="3" t="s">
        <v>61</v>
      </c>
      <c r="G13" s="9" t="str">
        <f t="shared" si="4"/>
        <v>46010.6101</v>
      </c>
      <c r="H13" s="8">
        <f t="shared" si="5"/>
        <v>-4289</v>
      </c>
      <c r="I13" s="58" t="s">
        <v>73</v>
      </c>
      <c r="J13" s="59" t="s">
        <v>74</v>
      </c>
      <c r="K13" s="58">
        <v>-4289</v>
      </c>
      <c r="L13" s="58" t="s">
        <v>75</v>
      </c>
      <c r="M13" s="59" t="s">
        <v>66</v>
      </c>
      <c r="N13" s="59" t="s">
        <v>67</v>
      </c>
      <c r="O13" s="60" t="s">
        <v>68</v>
      </c>
      <c r="P13" s="61" t="s">
        <v>69</v>
      </c>
    </row>
    <row r="14" spans="1:16" ht="12.75" customHeight="1" thickBot="1">
      <c r="A14" s="8" t="str">
        <f t="shared" si="0"/>
        <v>IBVS 2663 </v>
      </c>
      <c r="B14" s="3" t="str">
        <f t="shared" si="1"/>
        <v>I</v>
      </c>
      <c r="C14" s="8">
        <f t="shared" si="2"/>
        <v>46013.6351</v>
      </c>
      <c r="D14" s="9" t="str">
        <f t="shared" si="3"/>
        <v>vis</v>
      </c>
      <c r="E14" s="57">
        <f>VLOOKUP(C14,Active!C$21:E$968,3,FALSE)</f>
        <v>-3090.9889075426754</v>
      </c>
      <c r="F14" s="3" t="s">
        <v>61</v>
      </c>
      <c r="G14" s="9" t="str">
        <f t="shared" si="4"/>
        <v>46013.6351</v>
      </c>
      <c r="H14" s="8">
        <f t="shared" si="5"/>
        <v>-4287</v>
      </c>
      <c r="I14" s="58" t="s">
        <v>76</v>
      </c>
      <c r="J14" s="59" t="s">
        <v>77</v>
      </c>
      <c r="K14" s="58">
        <v>-4287</v>
      </c>
      <c r="L14" s="58" t="s">
        <v>65</v>
      </c>
      <c r="M14" s="59" t="s">
        <v>66</v>
      </c>
      <c r="N14" s="59" t="s">
        <v>67</v>
      </c>
      <c r="O14" s="60" t="s">
        <v>68</v>
      </c>
      <c r="P14" s="61" t="s">
        <v>69</v>
      </c>
    </row>
    <row r="15" spans="1:16" ht="12.75" customHeight="1" thickBot="1">
      <c r="A15" s="8" t="str">
        <f t="shared" si="0"/>
        <v>IBVS 5699 </v>
      </c>
      <c r="B15" s="3" t="str">
        <f t="shared" si="1"/>
        <v>I</v>
      </c>
      <c r="C15" s="8">
        <f t="shared" si="2"/>
        <v>50690.694799999997</v>
      </c>
      <c r="D15" s="9" t="str">
        <f t="shared" si="3"/>
        <v>vis</v>
      </c>
      <c r="E15" s="57">
        <f>VLOOKUP(C15,Active!C$21:E$968,3,FALSE)</f>
        <v>0</v>
      </c>
      <c r="F15" s="3" t="s">
        <v>61</v>
      </c>
      <c r="G15" s="9" t="str">
        <f t="shared" si="4"/>
        <v>50690.6948</v>
      </c>
      <c r="H15" s="8">
        <f t="shared" si="5"/>
        <v>-1196</v>
      </c>
      <c r="I15" s="58" t="s">
        <v>78</v>
      </c>
      <c r="J15" s="59" t="s">
        <v>79</v>
      </c>
      <c r="K15" s="58">
        <v>-1196</v>
      </c>
      <c r="L15" s="58" t="s">
        <v>80</v>
      </c>
      <c r="M15" s="59" t="s">
        <v>81</v>
      </c>
      <c r="N15" s="59" t="s">
        <v>61</v>
      </c>
      <c r="O15" s="60" t="s">
        <v>82</v>
      </c>
      <c r="P15" s="61" t="s">
        <v>83</v>
      </c>
    </row>
    <row r="16" spans="1:16" ht="12.75" customHeight="1" thickBot="1">
      <c r="A16" s="8" t="str">
        <f t="shared" si="0"/>
        <v>IBVS 5699 </v>
      </c>
      <c r="B16" s="3" t="str">
        <f t="shared" si="1"/>
        <v>II</v>
      </c>
      <c r="C16" s="8">
        <f t="shared" si="2"/>
        <v>52169.777199999997</v>
      </c>
      <c r="D16" s="9" t="str">
        <f t="shared" si="3"/>
        <v>vis</v>
      </c>
      <c r="E16" s="57">
        <f>VLOOKUP(C16,Active!C$21:E$968,3,FALSE)</f>
        <v>977.50030681489875</v>
      </c>
      <c r="F16" s="3" t="s">
        <v>61</v>
      </c>
      <c r="G16" s="9" t="str">
        <f t="shared" si="4"/>
        <v>52169.7772</v>
      </c>
      <c r="H16" s="8">
        <f t="shared" si="5"/>
        <v>-218.5</v>
      </c>
      <c r="I16" s="58" t="s">
        <v>84</v>
      </c>
      <c r="J16" s="59" t="s">
        <v>85</v>
      </c>
      <c r="K16" s="58">
        <v>-218.5</v>
      </c>
      <c r="L16" s="58" t="s">
        <v>86</v>
      </c>
      <c r="M16" s="59" t="s">
        <v>81</v>
      </c>
      <c r="N16" s="59" t="s">
        <v>61</v>
      </c>
      <c r="O16" s="60" t="s">
        <v>82</v>
      </c>
      <c r="P16" s="61" t="s">
        <v>83</v>
      </c>
    </row>
    <row r="17" spans="1:16" ht="12.75" customHeight="1" thickBot="1">
      <c r="A17" s="8" t="str">
        <f t="shared" si="0"/>
        <v>IBVS 5699 </v>
      </c>
      <c r="B17" s="3" t="str">
        <f t="shared" si="1"/>
        <v>I</v>
      </c>
      <c r="C17" s="8">
        <f t="shared" si="2"/>
        <v>52185.6636</v>
      </c>
      <c r="D17" s="9" t="str">
        <f t="shared" si="3"/>
        <v>vis</v>
      </c>
      <c r="E17" s="57">
        <f>VLOOKUP(C17,Active!C$21:E$968,3,FALSE)</f>
        <v>987.99935735744259</v>
      </c>
      <c r="F17" s="3" t="s">
        <v>61</v>
      </c>
      <c r="G17" s="9" t="str">
        <f t="shared" si="4"/>
        <v>52185.6636</v>
      </c>
      <c r="H17" s="8">
        <f t="shared" si="5"/>
        <v>-208</v>
      </c>
      <c r="I17" s="58" t="s">
        <v>87</v>
      </c>
      <c r="J17" s="59" t="s">
        <v>88</v>
      </c>
      <c r="K17" s="58">
        <v>-208</v>
      </c>
      <c r="L17" s="58" t="s">
        <v>89</v>
      </c>
      <c r="M17" s="59" t="s">
        <v>81</v>
      </c>
      <c r="N17" s="59" t="s">
        <v>90</v>
      </c>
      <c r="O17" s="60" t="s">
        <v>82</v>
      </c>
      <c r="P17" s="61" t="s">
        <v>83</v>
      </c>
    </row>
    <row r="18" spans="1:16" ht="12.75" customHeight="1" thickBot="1">
      <c r="A18" s="8" t="str">
        <f t="shared" si="0"/>
        <v>IBVS 5714 </v>
      </c>
      <c r="B18" s="3" t="str">
        <f t="shared" si="1"/>
        <v>I</v>
      </c>
      <c r="C18" s="8">
        <f t="shared" si="2"/>
        <v>52895.322</v>
      </c>
      <c r="D18" s="9" t="str">
        <f t="shared" si="3"/>
        <v>vis</v>
      </c>
      <c r="E18" s="57">
        <f>VLOOKUP(C18,Active!C$21:E$968,3,FALSE)</f>
        <v>1457.0004784131531</v>
      </c>
      <c r="F18" s="3" t="s">
        <v>61</v>
      </c>
      <c r="G18" s="9" t="str">
        <f t="shared" si="4"/>
        <v>52895.3220</v>
      </c>
      <c r="H18" s="8">
        <f t="shared" si="5"/>
        <v>261</v>
      </c>
      <c r="I18" s="58" t="s">
        <v>91</v>
      </c>
      <c r="J18" s="59" t="s">
        <v>92</v>
      </c>
      <c r="K18" s="58">
        <v>261</v>
      </c>
      <c r="L18" s="58" t="s">
        <v>93</v>
      </c>
      <c r="M18" s="59" t="s">
        <v>66</v>
      </c>
      <c r="N18" s="59" t="s">
        <v>61</v>
      </c>
      <c r="O18" s="60" t="s">
        <v>94</v>
      </c>
      <c r="P18" s="61" t="s">
        <v>95</v>
      </c>
    </row>
    <row r="19" spans="1:16" ht="12.75" customHeight="1" thickBot="1">
      <c r="A19" s="8" t="str">
        <f t="shared" si="0"/>
        <v>IBVS 5714 </v>
      </c>
      <c r="B19" s="3" t="str">
        <f t="shared" si="1"/>
        <v>I</v>
      </c>
      <c r="C19" s="8">
        <f t="shared" si="2"/>
        <v>52901.374000000003</v>
      </c>
      <c r="D19" s="9" t="str">
        <f t="shared" si="3"/>
        <v>vis</v>
      </c>
      <c r="E19" s="57">
        <f>VLOOKUP(C19,Active!C$21:E$968,3,FALSE)</f>
        <v>1461.0001418915685</v>
      </c>
      <c r="F19" s="3" t="s">
        <v>61</v>
      </c>
      <c r="G19" s="9" t="str">
        <f t="shared" si="4"/>
        <v>52901.3740</v>
      </c>
      <c r="H19" s="8">
        <f t="shared" si="5"/>
        <v>265</v>
      </c>
      <c r="I19" s="58" t="s">
        <v>96</v>
      </c>
      <c r="J19" s="59" t="s">
        <v>97</v>
      </c>
      <c r="K19" s="58">
        <v>265</v>
      </c>
      <c r="L19" s="58" t="s">
        <v>98</v>
      </c>
      <c r="M19" s="59" t="s">
        <v>66</v>
      </c>
      <c r="N19" s="59" t="s">
        <v>61</v>
      </c>
      <c r="O19" s="60" t="s">
        <v>94</v>
      </c>
      <c r="P19" s="61" t="s">
        <v>95</v>
      </c>
    </row>
    <row r="20" spans="1:16" ht="12.75" customHeight="1" thickBot="1">
      <c r="A20" s="8" t="str">
        <f t="shared" si="0"/>
        <v>IBVS 5699 </v>
      </c>
      <c r="B20" s="3" t="str">
        <f t="shared" si="1"/>
        <v>I</v>
      </c>
      <c r="C20" s="8">
        <f t="shared" si="2"/>
        <v>52928.610699999997</v>
      </c>
      <c r="D20" s="9" t="str">
        <f t="shared" si="3"/>
        <v>vis</v>
      </c>
      <c r="E20" s="57">
        <f>VLOOKUP(C20,Active!C$21:E$968,3,FALSE)</f>
        <v>1479.0004119283287</v>
      </c>
      <c r="F20" s="3" t="s">
        <v>61</v>
      </c>
      <c r="G20" s="9" t="str">
        <f t="shared" si="4"/>
        <v>52928.6107</v>
      </c>
      <c r="H20" s="8">
        <f t="shared" si="5"/>
        <v>283</v>
      </c>
      <c r="I20" s="58" t="s">
        <v>99</v>
      </c>
      <c r="J20" s="59" t="s">
        <v>100</v>
      </c>
      <c r="K20" s="58">
        <v>283</v>
      </c>
      <c r="L20" s="58" t="s">
        <v>93</v>
      </c>
      <c r="M20" s="59" t="s">
        <v>81</v>
      </c>
      <c r="N20" s="59" t="s">
        <v>61</v>
      </c>
      <c r="O20" s="60" t="s">
        <v>82</v>
      </c>
      <c r="P20" s="61" t="s">
        <v>83</v>
      </c>
    </row>
    <row r="21" spans="1:16" ht="12.75" customHeight="1" thickBot="1">
      <c r="A21" s="8" t="str">
        <f t="shared" si="0"/>
        <v>IBVS 5699 </v>
      </c>
      <c r="B21" s="3" t="str">
        <f t="shared" si="1"/>
        <v>II</v>
      </c>
      <c r="C21" s="8">
        <f t="shared" si="2"/>
        <v>53207.780200000001</v>
      </c>
      <c r="D21" s="9" t="str">
        <f t="shared" si="3"/>
        <v>vis</v>
      </c>
      <c r="E21" s="57">
        <f>VLOOKUP(C21,Active!C$21:E$968,3,FALSE)</f>
        <v>1663.4987684116225</v>
      </c>
      <c r="F21" s="3" t="s">
        <v>61</v>
      </c>
      <c r="G21" s="9" t="str">
        <f t="shared" si="4"/>
        <v>53207.7802</v>
      </c>
      <c r="H21" s="8">
        <f t="shared" si="5"/>
        <v>467.5</v>
      </c>
      <c r="I21" s="58" t="s">
        <v>101</v>
      </c>
      <c r="J21" s="59" t="s">
        <v>102</v>
      </c>
      <c r="K21" s="58">
        <v>467.5</v>
      </c>
      <c r="L21" s="58" t="s">
        <v>103</v>
      </c>
      <c r="M21" s="59" t="s">
        <v>81</v>
      </c>
      <c r="N21" s="59" t="s">
        <v>61</v>
      </c>
      <c r="O21" s="60" t="s">
        <v>82</v>
      </c>
      <c r="P21" s="61" t="s">
        <v>83</v>
      </c>
    </row>
    <row r="22" spans="1:16" ht="12.75" customHeight="1" thickBot="1">
      <c r="A22" s="8" t="str">
        <f t="shared" si="0"/>
        <v>IBVS 5699 </v>
      </c>
      <c r="B22" s="3" t="str">
        <f t="shared" si="1"/>
        <v>I</v>
      </c>
      <c r="C22" s="8">
        <f t="shared" si="2"/>
        <v>53226.696600000003</v>
      </c>
      <c r="D22" s="9" t="str">
        <f t="shared" si="3"/>
        <v>vis</v>
      </c>
      <c r="E22" s="57">
        <f>VLOOKUP(C22,Active!C$21:E$968,3,FALSE)</f>
        <v>1676.0002942250831</v>
      </c>
      <c r="F22" s="3" t="s">
        <v>61</v>
      </c>
      <c r="G22" s="9" t="str">
        <f t="shared" si="4"/>
        <v>53226.6966</v>
      </c>
      <c r="H22" s="8">
        <f t="shared" si="5"/>
        <v>480</v>
      </c>
      <c r="I22" s="58" t="s">
        <v>104</v>
      </c>
      <c r="J22" s="59" t="s">
        <v>105</v>
      </c>
      <c r="K22" s="58">
        <v>480</v>
      </c>
      <c r="L22" s="58" t="s">
        <v>106</v>
      </c>
      <c r="M22" s="59" t="s">
        <v>81</v>
      </c>
      <c r="N22" s="59" t="s">
        <v>61</v>
      </c>
      <c r="O22" s="60" t="s">
        <v>82</v>
      </c>
      <c r="P22" s="61" t="s">
        <v>83</v>
      </c>
    </row>
    <row r="23" spans="1:16" ht="12.75" customHeight="1" thickBot="1">
      <c r="A23" s="8" t="str">
        <f t="shared" si="0"/>
        <v>IBVS 5714 </v>
      </c>
      <c r="B23" s="3" t="str">
        <f t="shared" si="1"/>
        <v>I</v>
      </c>
      <c r="C23" s="8">
        <f t="shared" si="2"/>
        <v>53246.366300000002</v>
      </c>
      <c r="D23" s="9" t="str">
        <f t="shared" si="3"/>
        <v>vis</v>
      </c>
      <c r="E23" s="57">
        <f>VLOOKUP(C23,Active!C$21:E$968,3,FALSE)</f>
        <v>1688.9996631479744</v>
      </c>
      <c r="F23" s="3" t="s">
        <v>61</v>
      </c>
      <c r="G23" s="9" t="str">
        <f t="shared" si="4"/>
        <v>53246.3663</v>
      </c>
      <c r="H23" s="8">
        <f t="shared" si="5"/>
        <v>493</v>
      </c>
      <c r="I23" s="58" t="s">
        <v>107</v>
      </c>
      <c r="J23" s="59" t="s">
        <v>108</v>
      </c>
      <c r="K23" s="58">
        <v>493</v>
      </c>
      <c r="L23" s="58" t="s">
        <v>109</v>
      </c>
      <c r="M23" s="59" t="s">
        <v>66</v>
      </c>
      <c r="N23" s="59" t="s">
        <v>110</v>
      </c>
      <c r="O23" s="60" t="s">
        <v>94</v>
      </c>
      <c r="P23" s="61" t="s">
        <v>95</v>
      </c>
    </row>
    <row r="24" spans="1:16" ht="12.75" customHeight="1" thickBot="1">
      <c r="A24" s="8" t="str">
        <f t="shared" si="0"/>
        <v>IBVS 5699 </v>
      </c>
      <c r="B24" s="3" t="str">
        <f t="shared" si="1"/>
        <v>I</v>
      </c>
      <c r="C24" s="8">
        <f t="shared" si="2"/>
        <v>53270.575700000001</v>
      </c>
      <c r="D24" s="9" t="str">
        <f t="shared" si="3"/>
        <v>vis</v>
      </c>
      <c r="E24" s="57">
        <f>VLOOKUP(C24,Active!C$21:E$968,3,FALSE)</f>
        <v>1704.9992422977259</v>
      </c>
      <c r="F24" s="3" t="s">
        <v>61</v>
      </c>
      <c r="G24" s="9" t="str">
        <f t="shared" si="4"/>
        <v>53270.5757</v>
      </c>
      <c r="H24" s="8">
        <f t="shared" si="5"/>
        <v>509</v>
      </c>
      <c r="I24" s="58" t="s">
        <v>111</v>
      </c>
      <c r="J24" s="59" t="s">
        <v>112</v>
      </c>
      <c r="K24" s="58">
        <v>509</v>
      </c>
      <c r="L24" s="58" t="s">
        <v>113</v>
      </c>
      <c r="M24" s="59" t="s">
        <v>81</v>
      </c>
      <c r="N24" s="59" t="s">
        <v>61</v>
      </c>
      <c r="O24" s="60" t="s">
        <v>82</v>
      </c>
      <c r="P24" s="61" t="s">
        <v>83</v>
      </c>
    </row>
    <row r="25" spans="1:16" ht="12.75" customHeight="1" thickBot="1">
      <c r="A25" s="8" t="str">
        <f t="shared" si="0"/>
        <v>OEJV 0094 </v>
      </c>
      <c r="B25" s="3" t="str">
        <f t="shared" si="1"/>
        <v>I</v>
      </c>
      <c r="C25" s="8">
        <f t="shared" si="2"/>
        <v>54443.255799999999</v>
      </c>
      <c r="D25" s="9" t="str">
        <f t="shared" si="3"/>
        <v>vis</v>
      </c>
      <c r="E25" s="57" t="e">
        <f>VLOOKUP(C25,Active!C$21:E$968,3,FALSE)</f>
        <v>#N/A</v>
      </c>
      <c r="F25" s="3" t="s">
        <v>61</v>
      </c>
      <c r="G25" s="9" t="str">
        <f t="shared" si="4"/>
        <v>54443.2558</v>
      </c>
      <c r="H25" s="8">
        <f t="shared" si="5"/>
        <v>1284</v>
      </c>
      <c r="I25" s="58" t="s">
        <v>114</v>
      </c>
      <c r="J25" s="59" t="s">
        <v>115</v>
      </c>
      <c r="K25" s="58">
        <v>1284</v>
      </c>
      <c r="L25" s="58" t="s">
        <v>116</v>
      </c>
      <c r="M25" s="59" t="s">
        <v>81</v>
      </c>
      <c r="N25" s="59" t="s">
        <v>117</v>
      </c>
      <c r="O25" s="60" t="s">
        <v>118</v>
      </c>
      <c r="P25" s="61" t="s">
        <v>119</v>
      </c>
    </row>
    <row r="26" spans="1:16" ht="12.75" customHeight="1" thickBot="1">
      <c r="A26" s="8" t="str">
        <f t="shared" si="0"/>
        <v>OEJV 0094 </v>
      </c>
      <c r="B26" s="3" t="str">
        <f t="shared" si="1"/>
        <v>I</v>
      </c>
      <c r="C26" s="8">
        <f t="shared" si="2"/>
        <v>54443.256399999998</v>
      </c>
      <c r="D26" s="9" t="str">
        <f t="shared" si="3"/>
        <v>vis</v>
      </c>
      <c r="E26" s="57" t="e">
        <f>VLOOKUP(C26,Active!C$21:E$968,3,FALSE)</f>
        <v>#N/A</v>
      </c>
      <c r="F26" s="3" t="s">
        <v>61</v>
      </c>
      <c r="G26" s="9" t="str">
        <f t="shared" si="4"/>
        <v>54443.2564</v>
      </c>
      <c r="H26" s="8">
        <f t="shared" si="5"/>
        <v>1284</v>
      </c>
      <c r="I26" s="58" t="s">
        <v>120</v>
      </c>
      <c r="J26" s="59" t="s">
        <v>121</v>
      </c>
      <c r="K26" s="58">
        <v>1284</v>
      </c>
      <c r="L26" s="58" t="s">
        <v>122</v>
      </c>
      <c r="M26" s="59" t="s">
        <v>81</v>
      </c>
      <c r="N26" s="59" t="s">
        <v>61</v>
      </c>
      <c r="O26" s="60" t="s">
        <v>118</v>
      </c>
      <c r="P26" s="61" t="s">
        <v>119</v>
      </c>
    </row>
    <row r="27" spans="1:16" ht="12.75" customHeight="1" thickBot="1">
      <c r="A27" s="8" t="str">
        <f t="shared" si="0"/>
        <v>OEJV 0094 </v>
      </c>
      <c r="B27" s="3" t="str">
        <f t="shared" si="1"/>
        <v>I</v>
      </c>
      <c r="C27" s="8">
        <f t="shared" si="2"/>
        <v>54691.406999999999</v>
      </c>
      <c r="D27" s="9" t="str">
        <f t="shared" si="3"/>
        <v>vis</v>
      </c>
      <c r="E27" s="57" t="e">
        <f>VLOOKUP(C27,Active!C$21:E$968,3,FALSE)</f>
        <v>#N/A</v>
      </c>
      <c r="F27" s="3" t="s">
        <v>61</v>
      </c>
      <c r="G27" s="9" t="str">
        <f t="shared" si="4"/>
        <v>54691.4070</v>
      </c>
      <c r="H27" s="8">
        <f t="shared" si="5"/>
        <v>1448</v>
      </c>
      <c r="I27" s="58" t="s">
        <v>123</v>
      </c>
      <c r="J27" s="59" t="s">
        <v>124</v>
      </c>
      <c r="K27" s="58">
        <v>1448</v>
      </c>
      <c r="L27" s="58" t="s">
        <v>125</v>
      </c>
      <c r="M27" s="59" t="s">
        <v>81</v>
      </c>
      <c r="N27" s="59" t="s">
        <v>27</v>
      </c>
      <c r="O27" s="60" t="s">
        <v>118</v>
      </c>
      <c r="P27" s="61" t="s">
        <v>119</v>
      </c>
    </row>
    <row r="28" spans="1:16" ht="12.75" customHeight="1" thickBot="1">
      <c r="A28" s="8" t="str">
        <f t="shared" si="0"/>
        <v>OEJV 0094 </v>
      </c>
      <c r="B28" s="3" t="str">
        <f t="shared" si="1"/>
        <v>I</v>
      </c>
      <c r="C28" s="8">
        <f t="shared" si="2"/>
        <v>54691.408900000002</v>
      </c>
      <c r="D28" s="9" t="str">
        <f t="shared" si="3"/>
        <v>vis</v>
      </c>
      <c r="E28" s="57" t="e">
        <f>VLOOKUP(C28,Active!C$21:E$968,3,FALSE)</f>
        <v>#N/A</v>
      </c>
      <c r="F28" s="3" t="s">
        <v>61</v>
      </c>
      <c r="G28" s="9" t="str">
        <f t="shared" si="4"/>
        <v>54691.4089</v>
      </c>
      <c r="H28" s="8">
        <f t="shared" si="5"/>
        <v>1448</v>
      </c>
      <c r="I28" s="58" t="s">
        <v>126</v>
      </c>
      <c r="J28" s="59" t="s">
        <v>127</v>
      </c>
      <c r="K28" s="58">
        <v>1448</v>
      </c>
      <c r="L28" s="58" t="s">
        <v>128</v>
      </c>
      <c r="M28" s="59" t="s">
        <v>81</v>
      </c>
      <c r="N28" s="59" t="s">
        <v>117</v>
      </c>
      <c r="O28" s="60" t="s">
        <v>118</v>
      </c>
      <c r="P28" s="61" t="s">
        <v>119</v>
      </c>
    </row>
    <row r="29" spans="1:16" ht="12.75" customHeight="1" thickBot="1">
      <c r="A29" s="8" t="str">
        <f t="shared" si="0"/>
        <v>OEJV 0094 </v>
      </c>
      <c r="B29" s="3" t="str">
        <f t="shared" si="1"/>
        <v>I</v>
      </c>
      <c r="C29" s="8">
        <f t="shared" si="2"/>
        <v>54691.409699999997</v>
      </c>
      <c r="D29" s="9" t="str">
        <f t="shared" si="3"/>
        <v>vis</v>
      </c>
      <c r="E29" s="57" t="e">
        <f>VLOOKUP(C29,Active!C$21:E$968,3,FALSE)</f>
        <v>#N/A</v>
      </c>
      <c r="F29" s="3" t="s">
        <v>61</v>
      </c>
      <c r="G29" s="9" t="str">
        <f t="shared" si="4"/>
        <v>54691.4097</v>
      </c>
      <c r="H29" s="8">
        <f t="shared" si="5"/>
        <v>1448</v>
      </c>
      <c r="I29" s="58" t="s">
        <v>129</v>
      </c>
      <c r="J29" s="59" t="s">
        <v>130</v>
      </c>
      <c r="K29" s="58">
        <v>1448</v>
      </c>
      <c r="L29" s="58" t="s">
        <v>131</v>
      </c>
      <c r="M29" s="59" t="s">
        <v>81</v>
      </c>
      <c r="N29" s="59" t="s">
        <v>61</v>
      </c>
      <c r="O29" s="60" t="s">
        <v>118</v>
      </c>
      <c r="P29" s="61" t="s">
        <v>119</v>
      </c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</sheetData>
  <phoneticPr fontId="7" type="noConversion"/>
  <hyperlinks>
    <hyperlink ref="P11" r:id="rId1" display="http://www.konkoly.hu/cgi-bin/IBVS?2663" xr:uid="{00000000-0004-0000-0100-000000000000}"/>
    <hyperlink ref="P12" r:id="rId2" display="http://www.konkoly.hu/cgi-bin/IBVS?2663" xr:uid="{00000000-0004-0000-0100-000001000000}"/>
    <hyperlink ref="P13" r:id="rId3" display="http://www.konkoly.hu/cgi-bin/IBVS?2663" xr:uid="{00000000-0004-0000-0100-000002000000}"/>
    <hyperlink ref="P14" r:id="rId4" display="http://www.konkoly.hu/cgi-bin/IBVS?2663" xr:uid="{00000000-0004-0000-0100-000003000000}"/>
    <hyperlink ref="P15" r:id="rId5" display="http://www.konkoly.hu/cgi-bin/IBVS?5699" xr:uid="{00000000-0004-0000-0100-000004000000}"/>
    <hyperlink ref="P16" r:id="rId6" display="http://www.konkoly.hu/cgi-bin/IBVS?5699" xr:uid="{00000000-0004-0000-0100-000005000000}"/>
    <hyperlink ref="P17" r:id="rId7" display="http://www.konkoly.hu/cgi-bin/IBVS?5699" xr:uid="{00000000-0004-0000-0100-000006000000}"/>
    <hyperlink ref="P18" r:id="rId8" display="http://www.konkoly.hu/cgi-bin/IBVS?5714" xr:uid="{00000000-0004-0000-0100-000007000000}"/>
    <hyperlink ref="P19" r:id="rId9" display="http://www.konkoly.hu/cgi-bin/IBVS?5714" xr:uid="{00000000-0004-0000-0100-000008000000}"/>
    <hyperlink ref="P20" r:id="rId10" display="http://www.konkoly.hu/cgi-bin/IBVS?5699" xr:uid="{00000000-0004-0000-0100-000009000000}"/>
    <hyperlink ref="P21" r:id="rId11" display="http://www.konkoly.hu/cgi-bin/IBVS?5699" xr:uid="{00000000-0004-0000-0100-00000A000000}"/>
    <hyperlink ref="P22" r:id="rId12" display="http://www.konkoly.hu/cgi-bin/IBVS?5699" xr:uid="{00000000-0004-0000-0100-00000B000000}"/>
    <hyperlink ref="P23" r:id="rId13" display="http://www.konkoly.hu/cgi-bin/IBVS?5714" xr:uid="{00000000-0004-0000-0100-00000C000000}"/>
    <hyperlink ref="P24" r:id="rId14" display="http://www.konkoly.hu/cgi-bin/IBVS?5699" xr:uid="{00000000-0004-0000-0100-00000D000000}"/>
    <hyperlink ref="P25" r:id="rId15" display="http://var.astro.cz/oejv/issues/oejv0094.pdf" xr:uid="{00000000-0004-0000-0100-00000E000000}"/>
    <hyperlink ref="P26" r:id="rId16" display="http://var.astro.cz/oejv/issues/oejv0094.pdf" xr:uid="{00000000-0004-0000-0100-00000F000000}"/>
    <hyperlink ref="P27" r:id="rId17" display="http://var.astro.cz/oejv/issues/oejv0094.pdf" xr:uid="{00000000-0004-0000-0100-000010000000}"/>
    <hyperlink ref="P28" r:id="rId18" display="http://var.astro.cz/oejv/issues/oejv0094.pdf" xr:uid="{00000000-0004-0000-0100-000011000000}"/>
    <hyperlink ref="P29" r:id="rId19" display="http://var.astro.cz/oejv/issues/oejv0094.pdf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2024-02-04T05:14:05Z</dcterms:modified>
</cp:coreProperties>
</file>