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71A7C6F-032E-4A0A-9311-DDDFED10482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0" i="1" l="1"/>
  <c r="F30" i="1"/>
  <c r="G30" i="1"/>
  <c r="K30" i="1"/>
  <c r="Q30" i="1"/>
  <c r="E27" i="1"/>
  <c r="F27" i="1"/>
  <c r="G27" i="1"/>
  <c r="K27" i="1"/>
  <c r="Q27" i="1"/>
  <c r="E28" i="1"/>
  <c r="F28" i="1"/>
  <c r="G28" i="1"/>
  <c r="K28" i="1"/>
  <c r="E29" i="1"/>
  <c r="F29" i="1"/>
  <c r="G29" i="1"/>
  <c r="K29" i="1"/>
  <c r="Q28" i="1"/>
  <c r="Q29" i="1"/>
  <c r="F16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I26" i="1"/>
  <c r="D9" i="1"/>
  <c r="C9" i="1"/>
  <c r="E21" i="1"/>
  <c r="F21" i="1"/>
  <c r="G21" i="1"/>
  <c r="J21" i="1"/>
  <c r="Q26" i="1"/>
  <c r="G14" i="2"/>
  <c r="C14" i="2"/>
  <c r="E14" i="2"/>
  <c r="G13" i="2"/>
  <c r="C13" i="2"/>
  <c r="E13" i="2"/>
  <c r="G12" i="2"/>
  <c r="C12" i="2"/>
  <c r="E12" i="2"/>
  <c r="G11" i="2"/>
  <c r="C11" i="2"/>
  <c r="E11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C17" i="1"/>
  <c r="Q23" i="1"/>
  <c r="Q25" i="1"/>
  <c r="Q22" i="1"/>
  <c r="Q24" i="1"/>
  <c r="Q21" i="1"/>
  <c r="C12" i="1"/>
  <c r="C11" i="1"/>
  <c r="O28" i="1" l="1"/>
  <c r="C15" i="1"/>
  <c r="O27" i="1"/>
  <c r="O21" i="1"/>
  <c r="O23" i="1"/>
  <c r="O30" i="1"/>
  <c r="O24" i="1"/>
  <c r="O26" i="1"/>
  <c r="O25" i="1"/>
  <c r="O29" i="1"/>
  <c r="O22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<sst xmlns="http://schemas.openxmlformats.org/spreadsheetml/2006/main" count="112" uniqueCount="87">
  <si>
    <t>Add cycle</t>
  </si>
  <si>
    <t>Old Cycle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</si>
  <si>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</si>
  <si>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</si>
  <si>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</si>
  <si>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</si>
  <si>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</si>
  <si>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</si>
  <si>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</si>
  <si>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</si>
  <si>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</si>
  <si>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</si>
  <si>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</si>
  <si>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</si>
  <si>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</si>
  <si>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</si>
  <si>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</si>
  <si>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</si>
  <si>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</si>
  <si>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</si>
  <si>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</si>
  <si>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</si>
  <si>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</si>
  <si>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</si>
  <si>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</si>
  <si>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</si>
  <si>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</si>
  <si>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</si>
  <si>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not avail.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</si>
  <si>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</si>
  <si>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</si>
  <si>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</si>
  <si>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</si>
  <si>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</si>
  <si>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</si>
  <si>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 xml:space="preserve">V1901 Cyg / GSC 02702-00226               </t>
  </si>
  <si>
    <t>IBVS 5643</t>
  </si>
  <si>
    <t>origin uncertain</t>
  </si>
  <si>
    <t>EW</t>
  </si>
  <si>
    <t>I</t>
  </si>
  <si>
    <t>BRNO #34</t>
  </si>
  <si>
    <t xml:space="preserve">2007OEJV...74....1B </t>
  </si>
  <si>
    <t>IBVS 5806</t>
  </si>
  <si>
    <t>IBVS 5875</t>
  </si>
  <si>
    <t>OEJV 0074</t>
  </si>
  <si>
    <t>CCD+V</t>
  </si>
  <si>
    <t>OEJV</t>
  </si>
  <si>
    <t>Start of linear fit &gt;&gt;&gt;&gt;&gt;&gt;&gt;&gt;&gt;&gt;&gt;&gt;&gt;&gt;&gt;&gt;&gt;&gt;&gt;&gt;&gt;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</si>
  <si>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</si>
  <si>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</si>
  <si>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</si>
  <si>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</si>
  <si>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</si>
  <si>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</si>
  <si>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</si>
  <si>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</si>
  <si>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</si>
  <si>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</si>
  <si>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</si>
  <si>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2452876.4117 </t>
  </si>
  <si>
    <t> 24.08.2003 21:52 </t>
  </si>
  <si>
    <t> -0.0026 </t>
  </si>
  <si>
    <t>E </t>
  </si>
  <si>
    <t>o</t>
  </si>
  <si>
    <t> P.Frank </t>
  </si>
  <si>
    <t>BAVM 172 </t>
  </si>
  <si>
    <t>2453227.47891 </t>
  </si>
  <si>
    <t> 09.08.2004 23:29 </t>
  </si>
  <si>
    <t> 0.00095 </t>
  </si>
  <si>
    <t>C </t>
  </si>
  <si>
    <t> Koss &amp; Motl </t>
  </si>
  <si>
    <t>OEJV 0074 </t>
  </si>
  <si>
    <t>2453996.7451 </t>
  </si>
  <si>
    <t> 18.09.2006 05:52 </t>
  </si>
  <si>
    <t> 0.0009 </t>
  </si>
  <si>
    <t> T.Krajci </t>
  </si>
  <si>
    <t>IBVS 5806 </t>
  </si>
  <si>
    <t>2455844.7006 </t>
  </si>
  <si>
    <t> 10.10.2011 04:48 </t>
  </si>
  <si>
    <t> 0.0186 </t>
  </si>
  <si>
    <t> R.Diethelm </t>
  </si>
  <si>
    <t>IBVS 6011 </t>
  </si>
  <si>
    <t>II</t>
  </si>
  <si>
    <t>IBVS 6011</t>
  </si>
  <si>
    <t>OEJV 0179</t>
  </si>
  <si>
    <t>JAVSO..43..238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</si>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</sst>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13" fillId="0" borderId="0" xfId="38" applyAlignment="1" applyProtection="1"/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4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3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3" fillId="24" borderId="17" xfId="38" applyFill="1" applyBorder="1" applyAlignment="1" applyProtection="1">
      <alignment horizontal="right" vertical="top" wrapText="1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3" fillId="0" borderId="0" xfId="43" applyFont="1"/>
    <xf numFmtId="0" fontId="33" fillId="0" borderId="0" xfId="43" applyFont="1" applyAlignment="1">
      <alignment horizontal="center"/>
    </xf>
    <xf numFmtId="0" fontId="33" fillId="0" borderId="0" xfId="43" applyFont="1" applyAlignment="1">
      <alignment horizontal="left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/>
    </xf>
    <xf numFmtId="0" fontId="35" fillId="0" borderId="0" xfId="42" applyFont="1"/>
    <xf numFmtId="0" fontId="35" fillId="0" borderId="0" xfId="42" applyFont="1" applyAlignment="1">
      <alignment horizontal="center"/>
    </xf>
    <xf numFmtId="0" fontId="35" fillId="0" borderId="0" xfId="42" applyFont="1" applyAlignment="1">
      <alignment horizontal="lef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V1901 Cyg - O-C Diagr.</a:t>
            </a:r>
          </a:p>
        </c:rich>
      </c:tx>
      <c:layout>
        <c:manualLayout>
          <c:xMode val="edge"/>
          <c:yMode val="edge"/>
          <c:x val="0.36391485467986223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96961303279853"/>
          <c:y val="0.14634168126798494"/>
          <c:w val="0.8272183605969881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434</c:v>
                </c:pt>
                <c:pt idx="2">
                  <c:v>434</c:v>
                </c:pt>
                <c:pt idx="3">
                  <c:v>1385</c:v>
                </c:pt>
                <c:pt idx="4">
                  <c:v>2290</c:v>
                </c:pt>
                <c:pt idx="5">
                  <c:v>3669.5</c:v>
                </c:pt>
                <c:pt idx="6">
                  <c:v>4993</c:v>
                </c:pt>
                <c:pt idx="7">
                  <c:v>5421</c:v>
                </c:pt>
                <c:pt idx="8">
                  <c:v>5426</c:v>
                </c:pt>
                <c:pt idx="9">
                  <c:v>6369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96-4117-A4BC-D99EC38B36A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434</c:v>
                </c:pt>
                <c:pt idx="2">
                  <c:v>434</c:v>
                </c:pt>
                <c:pt idx="3">
                  <c:v>1385</c:v>
                </c:pt>
                <c:pt idx="4">
                  <c:v>2290</c:v>
                </c:pt>
                <c:pt idx="5">
                  <c:v>3669.5</c:v>
                </c:pt>
                <c:pt idx="6">
                  <c:v>4993</c:v>
                </c:pt>
                <c:pt idx="7">
                  <c:v>5421</c:v>
                </c:pt>
                <c:pt idx="8">
                  <c:v>5426</c:v>
                </c:pt>
                <c:pt idx="9">
                  <c:v>6369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5">
                  <c:v>3.9845562649134081E-2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96-4117-A4BC-D99EC38B36A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434</c:v>
                </c:pt>
                <c:pt idx="2">
                  <c:v>434</c:v>
                </c:pt>
                <c:pt idx="3">
                  <c:v>1385</c:v>
                </c:pt>
                <c:pt idx="4">
                  <c:v>2290</c:v>
                </c:pt>
                <c:pt idx="5">
                  <c:v>3669.5</c:v>
                </c:pt>
                <c:pt idx="6">
                  <c:v>4993</c:v>
                </c:pt>
                <c:pt idx="7">
                  <c:v>5421</c:v>
                </c:pt>
                <c:pt idx="8">
                  <c:v>5426</c:v>
                </c:pt>
                <c:pt idx="9">
                  <c:v>6369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96-4117-A4BC-D99EC38B36A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434</c:v>
                </c:pt>
                <c:pt idx="2">
                  <c:v>434</c:v>
                </c:pt>
                <c:pt idx="3">
                  <c:v>1385</c:v>
                </c:pt>
                <c:pt idx="4">
                  <c:v>2290</c:v>
                </c:pt>
                <c:pt idx="5">
                  <c:v>3669.5</c:v>
                </c:pt>
                <c:pt idx="6">
                  <c:v>4993</c:v>
                </c:pt>
                <c:pt idx="7">
                  <c:v>5421</c:v>
                </c:pt>
                <c:pt idx="8">
                  <c:v>5426</c:v>
                </c:pt>
                <c:pt idx="9">
                  <c:v>6369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5.7330615018145181E-3</c:v>
                </c:pt>
                <c:pt idx="2">
                  <c:v>5.7330615018145181E-3</c:v>
                </c:pt>
                <c:pt idx="3">
                  <c:v>1.0483963560545817E-2</c:v>
                </c:pt>
                <c:pt idx="4">
                  <c:v>1.7125831443991046E-2</c:v>
                </c:pt>
                <c:pt idx="6">
                  <c:v>4.5220382700790651E-2</c:v>
                </c:pt>
                <c:pt idx="7">
                  <c:v>4.629791800834937E-2</c:v>
                </c:pt>
                <c:pt idx="8">
                  <c:v>4.7070856504433323E-2</c:v>
                </c:pt>
                <c:pt idx="9">
                  <c:v>6.3861056813038886E-2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96-4117-A4BC-D99EC38B36A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434</c:v>
                </c:pt>
                <c:pt idx="2">
                  <c:v>434</c:v>
                </c:pt>
                <c:pt idx="3">
                  <c:v>1385</c:v>
                </c:pt>
                <c:pt idx="4">
                  <c:v>2290</c:v>
                </c:pt>
                <c:pt idx="5">
                  <c:v>3669.5</c:v>
                </c:pt>
                <c:pt idx="6">
                  <c:v>4993</c:v>
                </c:pt>
                <c:pt idx="7">
                  <c:v>5421</c:v>
                </c:pt>
                <c:pt idx="8">
                  <c:v>5426</c:v>
                </c:pt>
                <c:pt idx="9">
                  <c:v>6369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96-4117-A4BC-D99EC38B36A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434</c:v>
                </c:pt>
                <c:pt idx="2">
                  <c:v>434</c:v>
                </c:pt>
                <c:pt idx="3">
                  <c:v>1385</c:v>
                </c:pt>
                <c:pt idx="4">
                  <c:v>2290</c:v>
                </c:pt>
                <c:pt idx="5">
                  <c:v>3669.5</c:v>
                </c:pt>
                <c:pt idx="6">
                  <c:v>4993</c:v>
                </c:pt>
                <c:pt idx="7">
                  <c:v>5421</c:v>
                </c:pt>
                <c:pt idx="8">
                  <c:v>5426</c:v>
                </c:pt>
                <c:pt idx="9">
                  <c:v>6369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96-4117-A4BC-D99EC38B36A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0</c:v>
                  </c:pt>
                  <c:pt idx="6">
                    <c:v>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434</c:v>
                </c:pt>
                <c:pt idx="2">
                  <c:v>434</c:v>
                </c:pt>
                <c:pt idx="3">
                  <c:v>1385</c:v>
                </c:pt>
                <c:pt idx="4">
                  <c:v>2290</c:v>
                </c:pt>
                <c:pt idx="5">
                  <c:v>3669.5</c:v>
                </c:pt>
                <c:pt idx="6">
                  <c:v>4993</c:v>
                </c:pt>
                <c:pt idx="7">
                  <c:v>5421</c:v>
                </c:pt>
                <c:pt idx="8">
                  <c:v>5426</c:v>
                </c:pt>
                <c:pt idx="9">
                  <c:v>6369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96-4117-A4BC-D99EC38B36A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434</c:v>
                </c:pt>
                <c:pt idx="2">
                  <c:v>434</c:v>
                </c:pt>
                <c:pt idx="3">
                  <c:v>1385</c:v>
                </c:pt>
                <c:pt idx="4">
                  <c:v>2290</c:v>
                </c:pt>
                <c:pt idx="5">
                  <c:v>3669.5</c:v>
                </c:pt>
                <c:pt idx="6">
                  <c:v>4993</c:v>
                </c:pt>
                <c:pt idx="7">
                  <c:v>5421</c:v>
                </c:pt>
                <c:pt idx="8">
                  <c:v>5426</c:v>
                </c:pt>
                <c:pt idx="9">
                  <c:v>6369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1.8141366877198056E-5</c:v>
                </c:pt>
                <c:pt idx="1">
                  <c:v>4.0296655179075831E-3</c:v>
                </c:pt>
                <c:pt idx="2">
                  <c:v>4.0296655179075831E-3</c:v>
                </c:pt>
                <c:pt idx="3">
                  <c:v>1.2819894705994902E-2</c:v>
                </c:pt>
                <c:pt idx="4">
                  <c:v>2.118493930664582E-2</c:v>
                </c:pt>
                <c:pt idx="5">
                  <c:v>3.3935855358135258E-2</c:v>
                </c:pt>
                <c:pt idx="6">
                  <c:v>4.6169155390136898E-2</c:v>
                </c:pt>
                <c:pt idx="7">
                  <c:v>5.012522068193645E-2</c:v>
                </c:pt>
                <c:pt idx="8">
                  <c:v>5.0171436397962149E-2</c:v>
                </c:pt>
                <c:pt idx="9">
                  <c:v>5.8887720440408353E-2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96-4117-A4BC-D99EC38B3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937936"/>
        <c:axId val="1"/>
      </c:scatterChart>
      <c:valAx>
        <c:axId val="892937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9365824684758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58715596330278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937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9452751892252"/>
          <c:y val="0.92073298764483702"/>
          <c:w val="0.66055142189795069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57150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F837E97-3F70-74C5-0B4D-085E0A0ED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simbad.u-strasbg.fr/cgi-bin/cdsbib4?2007OEJV...74....1B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806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sfs/BAVM_link.php?BAVMnr=172" TargetMode="External"/><Relationship Id="rId4" Type="http://schemas.openxmlformats.org/officeDocument/2006/relationships/hyperlink" Target="http://www.konkoly.hu/cgi-bin/IBVS?6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9" width="9.85546875" customWidth="1"/>
  </cols>
  <sheetData>
    <row r="1" spans="1:6" ht="20.25" x14ac:dyDescent="0.3">
      <c r="A1" s="1" t="s">
        <v>35</v>
      </c>
    </row>
    <row r="2" spans="1:6" x14ac:dyDescent="0.2">
      <c r="A2" t="s">
        <v>25</v>
      </c>
      <c r="B2" t="s">
        <v>38</v>
      </c>
      <c r="C2" s="3"/>
      <c r="D2" s="3"/>
    </row>
    <row r="3" spans="1:6" ht="13.5" thickBot="1" x14ac:dyDescent="0.25"/>
    <row r="4" spans="1:6" ht="14.25" thickTop="1" thickBot="1" x14ac:dyDescent="0.25">
      <c r="A4" s="5" t="s">
        <v>2</v>
      </c>
      <c r="C4" s="8" t="s">
        <v>28</v>
      </c>
      <c r="D4" s="9" t="s">
        <v>28</v>
      </c>
    </row>
    <row r="5" spans="1:6" ht="13.5" thickTop="1" x14ac:dyDescent="0.2">
      <c r="A5" s="11" t="s">
        <v>30</v>
      </c>
      <c r="B5" s="12"/>
      <c r="C5" s="13">
        <v>-9.5</v>
      </c>
      <c r="D5" s="12" t="s">
        <v>31</v>
      </c>
    </row>
    <row r="6" spans="1:6" x14ac:dyDescent="0.2">
      <c r="A6" s="5" t="s">
        <v>3</v>
      </c>
    </row>
    <row r="7" spans="1:6" x14ac:dyDescent="0.2">
      <c r="A7" t="s">
        <v>4</v>
      </c>
      <c r="C7">
        <v>52876.411699999997</v>
      </c>
      <c r="D7" t="s">
        <v>36</v>
      </c>
    </row>
    <row r="8" spans="1:6" x14ac:dyDescent="0.2">
      <c r="A8" t="s">
        <v>5</v>
      </c>
      <c r="C8">
        <v>0.80889741230068168</v>
      </c>
      <c r="D8" t="s">
        <v>37</v>
      </c>
    </row>
    <row r="9" spans="1:6" x14ac:dyDescent="0.2">
      <c r="A9" s="30" t="s">
        <v>47</v>
      </c>
      <c r="B9" s="31">
        <v>21</v>
      </c>
      <c r="C9" s="28" t="str">
        <f>"F"&amp;B9</f>
        <v>F21</v>
      </c>
      <c r="D9" s="29" t="str">
        <f>"G"&amp;B9</f>
        <v>G21</v>
      </c>
    </row>
    <row r="10" spans="1:6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6" x14ac:dyDescent="0.2">
      <c r="A11" s="12" t="s">
        <v>17</v>
      </c>
      <c r="B11" s="12"/>
      <c r="C11" s="27">
        <f ca="1">INTERCEPT(INDIRECT($D$9):G992,INDIRECT($C$9):F992)</f>
        <v>1.8141366877198056E-5</v>
      </c>
      <c r="D11" s="3"/>
      <c r="E11" s="12"/>
    </row>
    <row r="12" spans="1:6" x14ac:dyDescent="0.2">
      <c r="A12" s="12" t="s">
        <v>18</v>
      </c>
      <c r="B12" s="12"/>
      <c r="C12" s="27">
        <f ca="1">SLOPE(INDIRECT($D$9):G992,INDIRECT($C$9):F992)</f>
        <v>9.2431432051391357E-6</v>
      </c>
      <c r="D12" s="3"/>
      <c r="E12" s="12"/>
    </row>
    <row r="13" spans="1:6" x14ac:dyDescent="0.2">
      <c r="A13" s="12" t="s">
        <v>20</v>
      </c>
      <c r="B13" s="12"/>
      <c r="C13" s="3" t="s">
        <v>15</v>
      </c>
    </row>
    <row r="14" spans="1:6" x14ac:dyDescent="0.2">
      <c r="A14" s="12"/>
      <c r="B14" s="12"/>
      <c r="C14" s="12"/>
    </row>
    <row r="15" spans="1:6" x14ac:dyDescent="0.2">
      <c r="A15" s="14" t="s">
        <v>19</v>
      </c>
      <c r="B15" s="12"/>
      <c r="C15" s="15">
        <f ca="1">(C7+C11)+(C8+C12)*INT(MAX(F21:F3533))</f>
        <v>58028.338206663473</v>
      </c>
      <c r="E15" s="16" t="s">
        <v>0</v>
      </c>
      <c r="F15" s="49">
        <v>1</v>
      </c>
    </row>
    <row r="16" spans="1:6" x14ac:dyDescent="0.2">
      <c r="A16" s="18" t="s">
        <v>6</v>
      </c>
      <c r="B16" s="12"/>
      <c r="C16" s="19">
        <f ca="1">+C8+C12</f>
        <v>0.80890665544388685</v>
      </c>
      <c r="E16" s="16" t="s">
        <v>32</v>
      </c>
      <c r="F16" s="50">
        <f ca="1">NOW()+15018.5+$C$5/24</f>
        <v>60344.760226273145</v>
      </c>
    </row>
    <row r="17" spans="1:20" ht="13.5" thickBot="1" x14ac:dyDescent="0.25">
      <c r="A17" s="16" t="s">
        <v>29</v>
      </c>
      <c r="B17" s="12"/>
      <c r="C17" s="12">
        <f>COUNT(C21:C2191)</f>
        <v>10</v>
      </c>
      <c r="E17" s="16" t="s">
        <v>1</v>
      </c>
      <c r="F17" s="17">
        <f ca="1">ROUND(2*(F16-$C$7)/$C$8,0)/2+F15</f>
        <v>9234</v>
      </c>
    </row>
    <row r="18" spans="1:20" ht="14.25" thickTop="1" thickBot="1" x14ac:dyDescent="0.25">
      <c r="A18" s="18" t="s">
        <v>7</v>
      </c>
      <c r="B18" s="12"/>
      <c r="C18" s="21">
        <f ca="1">+C15</f>
        <v>58028.338206663473</v>
      </c>
      <c r="D18" s="22">
        <f ca="1">+C16</f>
        <v>0.80890665544388685</v>
      </c>
      <c r="E18" s="16" t="s">
        <v>33</v>
      </c>
      <c r="F18" s="29">
        <f ca="1">ROUND(2*(F16-$C$15)/$C$16,0)/2+F15</f>
        <v>2864.5</v>
      </c>
    </row>
    <row r="19" spans="1:20" ht="13.5" thickTop="1" x14ac:dyDescent="0.2">
      <c r="E19" s="16" t="s">
        <v>34</v>
      </c>
      <c r="F19" s="20">
        <f ca="1">+$C$15+$C$16*F18-15018.5-$C$5/24</f>
        <v>45327.347154515825</v>
      </c>
    </row>
    <row r="20" spans="1:20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55</v>
      </c>
      <c r="I20" s="7" t="s">
        <v>58</v>
      </c>
      <c r="J20" s="7" t="s">
        <v>52</v>
      </c>
      <c r="K20" s="7" t="s">
        <v>50</v>
      </c>
      <c r="L20" s="7" t="s">
        <v>46</v>
      </c>
      <c r="M20" s="7" t="s">
        <v>26</v>
      </c>
      <c r="N20" s="7" t="s">
        <v>27</v>
      </c>
      <c r="O20" s="7" t="s">
        <v>24</v>
      </c>
      <c r="P20" s="6" t="s">
        <v>23</v>
      </c>
      <c r="Q20" s="4" t="s">
        <v>16</v>
      </c>
      <c r="R20" s="48"/>
      <c r="S20" s="48"/>
    </row>
    <row r="21" spans="1:20" x14ac:dyDescent="0.2">
      <c r="A21" t="s">
        <v>36</v>
      </c>
      <c r="B21" s="3"/>
      <c r="C21" s="10">
        <v>52876.411699999997</v>
      </c>
      <c r="D21" s="10" t="s">
        <v>15</v>
      </c>
      <c r="E21">
        <f t="shared" ref="E21:E30" si="0">+(C21-C$7)/C$8</f>
        <v>0</v>
      </c>
      <c r="F21">
        <f t="shared" ref="F21:F30" si="1">ROUND(2*E21,0)/2</f>
        <v>0</v>
      </c>
      <c r="G21">
        <f t="shared" ref="G21:G30" si="2">+C21-(C$7+F21*C$8)</f>
        <v>0</v>
      </c>
      <c r="J21">
        <f>+G21</f>
        <v>0</v>
      </c>
      <c r="O21">
        <f t="shared" ref="O21:O30" ca="1" si="3">+C$11+C$12*$F21</f>
        <v>1.8141366877198056E-5</v>
      </c>
      <c r="Q21" s="2">
        <f t="shared" ref="Q21:Q30" si="4">+C21-15018.5</f>
        <v>37857.911699999997</v>
      </c>
      <c r="R21" s="2"/>
      <c r="S21" s="2"/>
    </row>
    <row r="22" spans="1:20" x14ac:dyDescent="0.2">
      <c r="A22" t="s">
        <v>40</v>
      </c>
      <c r="B22" s="3" t="s">
        <v>39</v>
      </c>
      <c r="C22" s="10">
        <v>53227.478909999998</v>
      </c>
      <c r="D22" s="10" t="s">
        <v>15</v>
      </c>
      <c r="E22">
        <f t="shared" si="0"/>
        <v>434.00708750135436</v>
      </c>
      <c r="F22">
        <f t="shared" si="1"/>
        <v>434</v>
      </c>
      <c r="G22">
        <f t="shared" si="2"/>
        <v>5.7330615018145181E-3</v>
      </c>
      <c r="K22">
        <f t="shared" ref="K22:K30" si="5">+G22</f>
        <v>5.7330615018145181E-3</v>
      </c>
      <c r="O22">
        <f t="shared" ca="1" si="3"/>
        <v>4.0296655179075831E-3</v>
      </c>
      <c r="Q22" s="2">
        <f t="shared" si="4"/>
        <v>38208.978909999998</v>
      </c>
      <c r="R22" s="2"/>
      <c r="S22" s="2"/>
      <c r="T22" s="23" t="s">
        <v>41</v>
      </c>
    </row>
    <row r="23" spans="1:20" x14ac:dyDescent="0.2">
      <c r="A23" s="24" t="s">
        <v>44</v>
      </c>
      <c r="B23" s="25" t="s">
        <v>39</v>
      </c>
      <c r="C23" s="26">
        <v>53227.478909999998</v>
      </c>
      <c r="D23" s="26" t="s">
        <v>45</v>
      </c>
      <c r="E23">
        <f t="shared" si="0"/>
        <v>434.00708750135436</v>
      </c>
      <c r="F23">
        <f t="shared" si="1"/>
        <v>434</v>
      </c>
      <c r="G23">
        <f t="shared" si="2"/>
        <v>5.7330615018145181E-3</v>
      </c>
      <c r="K23">
        <f t="shared" si="5"/>
        <v>5.7330615018145181E-3</v>
      </c>
      <c r="O23">
        <f t="shared" ca="1" si="3"/>
        <v>4.0296655179075831E-3</v>
      </c>
      <c r="Q23" s="2">
        <f t="shared" si="4"/>
        <v>38208.978909999998</v>
      </c>
      <c r="R23" s="2"/>
      <c r="S23" s="2"/>
    </row>
    <row r="24" spans="1:20" x14ac:dyDescent="0.2">
      <c r="A24" t="s">
        <v>42</v>
      </c>
      <c r="B24" s="3"/>
      <c r="C24" s="10">
        <v>53996.7451</v>
      </c>
      <c r="D24" s="10">
        <v>5.0000000000000001E-4</v>
      </c>
      <c r="E24">
        <f t="shared" si="0"/>
        <v>1385.0129608073898</v>
      </c>
      <c r="F24">
        <f t="shared" si="1"/>
        <v>1385</v>
      </c>
      <c r="G24">
        <f t="shared" si="2"/>
        <v>1.0483963560545817E-2</v>
      </c>
      <c r="K24">
        <f t="shared" si="5"/>
        <v>1.0483963560545817E-2</v>
      </c>
      <c r="O24">
        <f t="shared" ca="1" si="3"/>
        <v>1.2819894705994902E-2</v>
      </c>
      <c r="Q24" s="2">
        <f t="shared" si="4"/>
        <v>38978.2451</v>
      </c>
      <c r="R24" s="2"/>
      <c r="S24" s="2"/>
      <c r="T24" s="23"/>
    </row>
    <row r="25" spans="1:20" x14ac:dyDescent="0.2">
      <c r="A25" s="5" t="s">
        <v>43</v>
      </c>
      <c r="B25" s="3"/>
      <c r="C25" s="10">
        <v>54728.803899999999</v>
      </c>
      <c r="D25" s="10">
        <v>2.0000000000000001E-4</v>
      </c>
      <c r="E25">
        <f t="shared" si="0"/>
        <v>2290.0211718212727</v>
      </c>
      <c r="F25">
        <f t="shared" si="1"/>
        <v>2290</v>
      </c>
      <c r="G25">
        <f t="shared" si="2"/>
        <v>1.7125831443991046E-2</v>
      </c>
      <c r="K25">
        <f t="shared" si="5"/>
        <v>1.7125831443991046E-2</v>
      </c>
      <c r="O25">
        <f t="shared" ca="1" si="3"/>
        <v>2.118493930664582E-2</v>
      </c>
      <c r="Q25" s="2">
        <f t="shared" si="4"/>
        <v>39710.303899999999</v>
      </c>
      <c r="R25" s="2"/>
      <c r="S25" s="2"/>
    </row>
    <row r="26" spans="1:20" x14ac:dyDescent="0.2">
      <c r="A26" s="45" t="s">
        <v>83</v>
      </c>
      <c r="B26" s="46" t="s">
        <v>82</v>
      </c>
      <c r="C26" s="47">
        <v>55844.700599999996</v>
      </c>
      <c r="D26" s="47" t="s">
        <v>58</v>
      </c>
      <c r="E26">
        <f t="shared" si="0"/>
        <v>3669.5492591051006</v>
      </c>
      <c r="F26">
        <f t="shared" si="1"/>
        <v>3669.5</v>
      </c>
      <c r="G26">
        <f t="shared" si="2"/>
        <v>3.9845562649134081E-2</v>
      </c>
      <c r="I26">
        <f>+G26</f>
        <v>3.9845562649134081E-2</v>
      </c>
      <c r="O26">
        <f t="shared" ca="1" si="3"/>
        <v>3.3935855358135258E-2</v>
      </c>
      <c r="Q26" s="2">
        <f t="shared" si="4"/>
        <v>40826.200599999996</v>
      </c>
      <c r="R26" s="2"/>
      <c r="S26" s="2"/>
    </row>
    <row r="27" spans="1:20" x14ac:dyDescent="0.2">
      <c r="A27" s="54" t="s">
        <v>85</v>
      </c>
      <c r="B27" s="55" t="s">
        <v>39</v>
      </c>
      <c r="C27" s="56">
        <v>56915.2817</v>
      </c>
      <c r="D27" s="56">
        <v>1E-4</v>
      </c>
      <c r="E27">
        <f t="shared" si="0"/>
        <v>4993.0559037302028</v>
      </c>
      <c r="F27">
        <f t="shared" si="1"/>
        <v>4993</v>
      </c>
      <c r="G27">
        <f t="shared" si="2"/>
        <v>4.5220382700790651E-2</v>
      </c>
      <c r="K27">
        <f t="shared" si="5"/>
        <v>4.5220382700790651E-2</v>
      </c>
      <c r="O27">
        <f t="shared" ca="1" si="3"/>
        <v>4.6169155390136898E-2</v>
      </c>
      <c r="Q27" s="2">
        <f t="shared" si="4"/>
        <v>41896.7817</v>
      </c>
      <c r="R27" s="2"/>
      <c r="S27" s="2"/>
    </row>
    <row r="28" spans="1:20" x14ac:dyDescent="0.2">
      <c r="A28" s="51" t="s">
        <v>84</v>
      </c>
      <c r="B28" s="52" t="s">
        <v>39</v>
      </c>
      <c r="C28" s="53">
        <v>57261.490870000001</v>
      </c>
      <c r="D28" s="53">
        <v>2.9999999999999997E-4</v>
      </c>
      <c r="E28">
        <f t="shared" si="0"/>
        <v>5421.057235833995</v>
      </c>
      <c r="F28">
        <f t="shared" si="1"/>
        <v>5421</v>
      </c>
      <c r="G28">
        <f t="shared" si="2"/>
        <v>4.629791800834937E-2</v>
      </c>
      <c r="K28">
        <f t="shared" si="5"/>
        <v>4.629791800834937E-2</v>
      </c>
      <c r="O28">
        <f t="shared" ca="1" si="3"/>
        <v>5.012522068193645E-2</v>
      </c>
      <c r="Q28" s="2">
        <f t="shared" si="4"/>
        <v>42242.990870000001</v>
      </c>
      <c r="R28" s="2"/>
      <c r="S28" s="2"/>
    </row>
    <row r="29" spans="1:20" x14ac:dyDescent="0.2">
      <c r="A29" s="51" t="s">
        <v>84</v>
      </c>
      <c r="B29" s="52" t="s">
        <v>39</v>
      </c>
      <c r="C29" s="53">
        <v>57265.53613</v>
      </c>
      <c r="D29" s="53">
        <v>4.0000000000000002E-4</v>
      </c>
      <c r="E29">
        <f t="shared" si="0"/>
        <v>5426.0581913797587</v>
      </c>
      <c r="F29">
        <f t="shared" si="1"/>
        <v>5426</v>
      </c>
      <c r="G29">
        <f t="shared" si="2"/>
        <v>4.7070856504433323E-2</v>
      </c>
      <c r="K29">
        <f t="shared" si="5"/>
        <v>4.7070856504433323E-2</v>
      </c>
      <c r="O29">
        <f t="shared" ca="1" si="3"/>
        <v>5.0171436397962149E-2</v>
      </c>
      <c r="Q29" s="2">
        <f t="shared" si="4"/>
        <v>42247.03613</v>
      </c>
      <c r="R29" s="2"/>
      <c r="S29" s="2"/>
    </row>
    <row r="30" spans="1:20" x14ac:dyDescent="0.2">
      <c r="A30" s="57" t="s">
        <v>86</v>
      </c>
      <c r="B30" s="58" t="s">
        <v>39</v>
      </c>
      <c r="C30" s="59">
        <v>58028.343179999851</v>
      </c>
      <c r="D30" s="59">
        <v>8.0000000000000004E-4</v>
      </c>
      <c r="E30">
        <f t="shared" si="0"/>
        <v>6369.0789482768041</v>
      </c>
      <c r="F30">
        <f t="shared" si="1"/>
        <v>6369</v>
      </c>
      <c r="G30">
        <f t="shared" si="2"/>
        <v>6.3861056813038886E-2</v>
      </c>
      <c r="K30">
        <f t="shared" si="5"/>
        <v>6.3861056813038886E-2</v>
      </c>
      <c r="O30">
        <f t="shared" ca="1" si="3"/>
        <v>5.8887720440408353E-2</v>
      </c>
      <c r="Q30" s="2">
        <f t="shared" si="4"/>
        <v>43009.843179999851</v>
      </c>
      <c r="R30" s="2"/>
      <c r="S30" s="2"/>
    </row>
    <row r="31" spans="1:20" x14ac:dyDescent="0.2">
      <c r="B31" s="3"/>
      <c r="C31" s="10"/>
      <c r="D31" s="10"/>
      <c r="Q31" s="2"/>
      <c r="R31" s="2"/>
      <c r="S31" s="2"/>
    </row>
    <row r="32" spans="1:20" x14ac:dyDescent="0.2">
      <c r="B32" s="3"/>
      <c r="C32" s="10"/>
      <c r="D32" s="10"/>
      <c r="Q32" s="2"/>
      <c r="R32" s="2"/>
      <c r="S32" s="2"/>
    </row>
    <row r="33" spans="2:19" x14ac:dyDescent="0.2">
      <c r="B33" s="3"/>
      <c r="C33" s="10"/>
      <c r="D33" s="10"/>
      <c r="Q33" s="2"/>
      <c r="R33" s="2"/>
      <c r="S33" s="2"/>
    </row>
    <row r="34" spans="2:19" x14ac:dyDescent="0.2">
      <c r="B34" s="3"/>
      <c r="C34" s="10"/>
      <c r="D34" s="10"/>
    </row>
    <row r="35" spans="2:19" x14ac:dyDescent="0.2">
      <c r="B35" s="3"/>
      <c r="C35" s="10"/>
      <c r="D35" s="10"/>
    </row>
    <row r="36" spans="2:19" x14ac:dyDescent="0.2">
      <c r="B36" s="3"/>
      <c r="C36" s="10"/>
      <c r="D36" s="10"/>
    </row>
    <row r="37" spans="2:19" x14ac:dyDescent="0.2">
      <c r="B37" s="3"/>
      <c r="C37" s="10"/>
      <c r="D37" s="10"/>
    </row>
    <row r="38" spans="2:19" x14ac:dyDescent="0.2">
      <c r="B38" s="3"/>
      <c r="C38" s="10"/>
      <c r="D38" s="10"/>
    </row>
    <row r="39" spans="2:19" x14ac:dyDescent="0.2">
      <c r="B39" s="3"/>
      <c r="C39" s="10"/>
      <c r="D39" s="10"/>
    </row>
    <row r="40" spans="2:19" x14ac:dyDescent="0.2">
      <c r="B40" s="3"/>
      <c r="C40" s="10"/>
      <c r="D40" s="10"/>
    </row>
    <row r="41" spans="2:19" x14ac:dyDescent="0.2">
      <c r="B41" s="3"/>
      <c r="C41" s="10"/>
      <c r="D41" s="10"/>
    </row>
    <row r="42" spans="2:19" x14ac:dyDescent="0.2">
      <c r="B42" s="3"/>
      <c r="C42" s="10"/>
      <c r="D42" s="10"/>
    </row>
    <row r="43" spans="2:19" x14ac:dyDescent="0.2">
      <c r="B43" s="3"/>
      <c r="C43" s="10"/>
      <c r="D43" s="10"/>
    </row>
    <row r="44" spans="2:19" x14ac:dyDescent="0.2">
      <c r="B44" s="3"/>
      <c r="C44" s="10"/>
      <c r="D44" s="10"/>
    </row>
    <row r="45" spans="2:19" x14ac:dyDescent="0.2">
      <c r="B45" s="3"/>
      <c r="C45" s="10"/>
      <c r="D45" s="10"/>
    </row>
    <row r="46" spans="2:19" x14ac:dyDescent="0.2">
      <c r="B46" s="3"/>
      <c r="C46" s="10"/>
      <c r="D46" s="10"/>
    </row>
    <row r="47" spans="2:19" x14ac:dyDescent="0.2">
      <c r="B47" s="3"/>
      <c r="C47" s="10"/>
      <c r="D47" s="10"/>
    </row>
    <row r="48" spans="2:19" x14ac:dyDescent="0.2">
      <c r="B48" s="3"/>
      <c r="C48" s="10"/>
      <c r="D48" s="10"/>
    </row>
    <row r="49" spans="2:4" x14ac:dyDescent="0.2">
      <c r="B49" s="3"/>
      <c r="C49" s="10"/>
      <c r="D49" s="10"/>
    </row>
    <row r="50" spans="2:4" x14ac:dyDescent="0.2">
      <c r="B50" s="3"/>
      <c r="C50" s="10"/>
      <c r="D50" s="10"/>
    </row>
    <row r="51" spans="2:4" x14ac:dyDescent="0.2">
      <c r="B51" s="3"/>
      <c r="C51" s="10"/>
      <c r="D51" s="10"/>
    </row>
    <row r="52" spans="2:4" x14ac:dyDescent="0.2">
      <c r="B52" s="3"/>
      <c r="C52" s="10"/>
      <c r="D52" s="10"/>
    </row>
    <row r="53" spans="2:4" x14ac:dyDescent="0.2">
      <c r="B53" s="3"/>
      <c r="C53" s="10"/>
      <c r="D53" s="10"/>
    </row>
    <row r="54" spans="2:4" x14ac:dyDescent="0.2">
      <c r="B54" s="3"/>
      <c r="C54" s="10"/>
      <c r="D54" s="10"/>
    </row>
    <row r="55" spans="2:4" x14ac:dyDescent="0.2">
      <c r="B55" s="3"/>
      <c r="C55" s="10"/>
      <c r="D55" s="10"/>
    </row>
    <row r="56" spans="2:4" x14ac:dyDescent="0.2">
      <c r="B56" s="3"/>
      <c r="C56" s="10"/>
      <c r="D56" s="10"/>
    </row>
    <row r="57" spans="2:4" x14ac:dyDescent="0.2">
      <c r="B57" s="3"/>
      <c r="C57" s="10"/>
      <c r="D57" s="10"/>
    </row>
    <row r="58" spans="2:4" x14ac:dyDescent="0.2">
      <c r="B58" s="3"/>
      <c r="C58" s="10"/>
      <c r="D58" s="10"/>
    </row>
    <row r="59" spans="2:4" x14ac:dyDescent="0.2">
      <c r="B59" s="3"/>
      <c r="C59" s="10"/>
      <c r="D59" s="10"/>
    </row>
    <row r="60" spans="2:4" x14ac:dyDescent="0.2">
      <c r="B60" s="3"/>
      <c r="C60" s="10"/>
      <c r="D60" s="10"/>
    </row>
    <row r="61" spans="2:4" x14ac:dyDescent="0.2">
      <c r="B61" s="3"/>
      <c r="C61" s="10"/>
      <c r="D61" s="10"/>
    </row>
    <row r="62" spans="2:4" x14ac:dyDescent="0.2">
      <c r="B62" s="3"/>
      <c r="C62" s="10"/>
      <c r="D62" s="10"/>
    </row>
    <row r="63" spans="2:4" x14ac:dyDescent="0.2">
      <c r="B63" s="3"/>
      <c r="C63" s="10"/>
      <c r="D63" s="10"/>
    </row>
    <row r="64" spans="2:4" x14ac:dyDescent="0.2">
      <c r="B64" s="3"/>
      <c r="C64" s="10"/>
      <c r="D64" s="10"/>
    </row>
    <row r="65" spans="2:4" x14ac:dyDescent="0.2">
      <c r="B65" s="3"/>
      <c r="C65" s="10"/>
      <c r="D65" s="10"/>
    </row>
    <row r="66" spans="2:4" x14ac:dyDescent="0.2">
      <c r="B66" s="3"/>
      <c r="C66" s="10"/>
      <c r="D66" s="10"/>
    </row>
    <row r="67" spans="2:4" x14ac:dyDescent="0.2">
      <c r="B67" s="3"/>
      <c r="C67" s="10"/>
      <c r="D67" s="10"/>
    </row>
    <row r="68" spans="2:4" x14ac:dyDescent="0.2">
      <c r="B68" s="3"/>
      <c r="C68" s="10"/>
      <c r="D68" s="10"/>
    </row>
    <row r="69" spans="2:4" x14ac:dyDescent="0.2">
      <c r="B69" s="3"/>
      <c r="C69" s="10"/>
      <c r="D69" s="10"/>
    </row>
    <row r="70" spans="2:4" x14ac:dyDescent="0.2">
      <c r="B70" s="3"/>
      <c r="C70" s="10"/>
      <c r="D70" s="10"/>
    </row>
    <row r="71" spans="2:4" x14ac:dyDescent="0.2">
      <c r="B71" s="3"/>
      <c r="C71" s="10"/>
      <c r="D71" s="10"/>
    </row>
    <row r="72" spans="2:4" x14ac:dyDescent="0.2">
      <c r="B72" s="3"/>
      <c r="C72" s="10"/>
      <c r="D72" s="10"/>
    </row>
    <row r="73" spans="2:4" x14ac:dyDescent="0.2">
      <c r="B73" s="3"/>
      <c r="C73" s="10"/>
      <c r="D73" s="10"/>
    </row>
    <row r="74" spans="2:4" x14ac:dyDescent="0.2">
      <c r="B74" s="3"/>
      <c r="C74" s="10"/>
      <c r="D74" s="10"/>
    </row>
    <row r="75" spans="2:4" x14ac:dyDescent="0.2">
      <c r="B75" s="3"/>
      <c r="C75" s="10"/>
      <c r="D75" s="10"/>
    </row>
    <row r="76" spans="2:4" x14ac:dyDescent="0.2">
      <c r="B76" s="3"/>
      <c r="C76" s="10"/>
      <c r="D76" s="10"/>
    </row>
    <row r="77" spans="2:4" x14ac:dyDescent="0.2">
      <c r="B77" s="3"/>
      <c r="C77" s="10"/>
      <c r="D77" s="10"/>
    </row>
    <row r="78" spans="2:4" x14ac:dyDescent="0.2">
      <c r="B78" s="3"/>
      <c r="C78" s="10"/>
      <c r="D78" s="10"/>
    </row>
    <row r="79" spans="2:4" x14ac:dyDescent="0.2">
      <c r="B79" s="3"/>
      <c r="C79" s="10"/>
      <c r="D79" s="10"/>
    </row>
    <row r="80" spans="2:4" x14ac:dyDescent="0.2">
      <c r="B80" s="3"/>
      <c r="C80" s="10"/>
      <c r="D80" s="10"/>
    </row>
    <row r="81" spans="2:4" x14ac:dyDescent="0.2">
      <c r="B81" s="3"/>
      <c r="C81" s="10"/>
      <c r="D81" s="10"/>
    </row>
    <row r="82" spans="2:4" x14ac:dyDescent="0.2">
      <c r="B82" s="3"/>
      <c r="C82" s="10"/>
      <c r="D82" s="10"/>
    </row>
    <row r="83" spans="2:4" x14ac:dyDescent="0.2">
      <c r="B83" s="3"/>
      <c r="C83" s="10"/>
      <c r="D83" s="10"/>
    </row>
    <row r="84" spans="2:4" x14ac:dyDescent="0.2">
      <c r="B84" s="3"/>
      <c r="C84" s="10"/>
      <c r="D84" s="10"/>
    </row>
    <row r="85" spans="2:4" x14ac:dyDescent="0.2">
      <c r="B85" s="3"/>
      <c r="C85" s="10"/>
      <c r="D85" s="10"/>
    </row>
    <row r="86" spans="2:4" x14ac:dyDescent="0.2">
      <c r="B86" s="3"/>
      <c r="C86" s="10"/>
      <c r="D86" s="10"/>
    </row>
    <row r="87" spans="2:4" x14ac:dyDescent="0.2">
      <c r="B87" s="3"/>
      <c r="C87" s="10"/>
      <c r="D87" s="10"/>
    </row>
    <row r="88" spans="2:4" x14ac:dyDescent="0.2">
      <c r="B88" s="3"/>
      <c r="C88" s="10"/>
      <c r="D88" s="10"/>
    </row>
    <row r="89" spans="2:4" x14ac:dyDescent="0.2">
      <c r="B89" s="3"/>
      <c r="C89" s="10"/>
      <c r="D89" s="10"/>
    </row>
    <row r="90" spans="2:4" x14ac:dyDescent="0.2">
      <c r="B90" s="3"/>
      <c r="C90" s="10"/>
      <c r="D90" s="10"/>
    </row>
    <row r="91" spans="2:4" x14ac:dyDescent="0.2">
      <c r="B91" s="3"/>
      <c r="C91" s="10"/>
      <c r="D91" s="10"/>
    </row>
    <row r="92" spans="2:4" x14ac:dyDescent="0.2">
      <c r="B92" s="3"/>
      <c r="C92" s="10"/>
      <c r="D92" s="10"/>
    </row>
    <row r="93" spans="2:4" x14ac:dyDescent="0.2">
      <c r="B93" s="3"/>
      <c r="C93" s="10"/>
      <c r="D93" s="10"/>
    </row>
    <row r="94" spans="2:4" x14ac:dyDescent="0.2">
      <c r="B94" s="3"/>
      <c r="C94" s="10"/>
      <c r="D94" s="10"/>
    </row>
    <row r="95" spans="2:4" x14ac:dyDescent="0.2">
      <c r="B95" s="3"/>
      <c r="C95" s="10"/>
      <c r="D95" s="10"/>
    </row>
    <row r="96" spans="2:4" x14ac:dyDescent="0.2">
      <c r="B96" s="3"/>
      <c r="C96" s="10"/>
      <c r="D96" s="10"/>
    </row>
    <row r="97" spans="2:4" x14ac:dyDescent="0.2">
      <c r="B97" s="3"/>
      <c r="C97" s="10"/>
      <c r="D97" s="10"/>
    </row>
    <row r="98" spans="2:4" x14ac:dyDescent="0.2">
      <c r="B98" s="3"/>
      <c r="C98" s="10"/>
      <c r="D98" s="10"/>
    </row>
    <row r="99" spans="2:4" x14ac:dyDescent="0.2">
      <c r="B99" s="3"/>
      <c r="C99" s="10"/>
      <c r="D99" s="10"/>
    </row>
    <row r="100" spans="2:4" x14ac:dyDescent="0.2">
      <c r="B100" s="3"/>
      <c r="C100" s="10"/>
      <c r="D100" s="10"/>
    </row>
    <row r="101" spans="2:4" x14ac:dyDescent="0.2">
      <c r="B101" s="3"/>
      <c r="C101" s="10"/>
      <c r="D101" s="10"/>
    </row>
    <row r="102" spans="2:4" x14ac:dyDescent="0.2">
      <c r="B102" s="3"/>
      <c r="C102" s="10"/>
      <c r="D102" s="10"/>
    </row>
    <row r="103" spans="2:4" x14ac:dyDescent="0.2">
      <c r="B103" s="3"/>
      <c r="C103" s="10"/>
      <c r="D103" s="10"/>
    </row>
    <row r="104" spans="2:4" x14ac:dyDescent="0.2">
      <c r="B104" s="3"/>
      <c r="C104" s="10"/>
      <c r="D104" s="10"/>
    </row>
    <row r="105" spans="2:4" x14ac:dyDescent="0.2">
      <c r="B105" s="3"/>
      <c r="C105" s="10"/>
      <c r="D105" s="10"/>
    </row>
    <row r="106" spans="2:4" x14ac:dyDescent="0.2">
      <c r="B106" s="3"/>
      <c r="C106" s="10"/>
      <c r="D106" s="10"/>
    </row>
    <row r="107" spans="2:4" x14ac:dyDescent="0.2">
      <c r="B107" s="3"/>
      <c r="C107" s="10"/>
      <c r="D107" s="10"/>
    </row>
    <row r="108" spans="2:4" x14ac:dyDescent="0.2">
      <c r="B108" s="3"/>
      <c r="C108" s="10"/>
      <c r="D108" s="10"/>
    </row>
    <row r="109" spans="2:4" x14ac:dyDescent="0.2">
      <c r="B109" s="3"/>
      <c r="C109" s="10"/>
      <c r="D109" s="10"/>
    </row>
    <row r="110" spans="2:4" x14ac:dyDescent="0.2">
      <c r="B110" s="3"/>
      <c r="C110" s="10"/>
      <c r="D110" s="10"/>
    </row>
    <row r="111" spans="2:4" x14ac:dyDescent="0.2">
      <c r="B111" s="3"/>
      <c r="C111" s="10"/>
      <c r="D111" s="10"/>
    </row>
    <row r="112" spans="2:4" x14ac:dyDescent="0.2">
      <c r="B112" s="3"/>
      <c r="C112" s="10"/>
      <c r="D112" s="10"/>
    </row>
    <row r="113" spans="2:4" x14ac:dyDescent="0.2">
      <c r="B113" s="3"/>
      <c r="C113" s="10"/>
      <c r="D113" s="10"/>
    </row>
    <row r="114" spans="2:4" x14ac:dyDescent="0.2">
      <c r="B114" s="3"/>
      <c r="C114" s="10"/>
      <c r="D114" s="10"/>
    </row>
    <row r="115" spans="2:4" x14ac:dyDescent="0.2">
      <c r="B115" s="3"/>
      <c r="C115" s="10"/>
      <c r="D115" s="10"/>
    </row>
    <row r="116" spans="2:4" x14ac:dyDescent="0.2">
      <c r="B116" s="3"/>
      <c r="C116" s="10"/>
      <c r="D116" s="10"/>
    </row>
    <row r="117" spans="2:4" x14ac:dyDescent="0.2">
      <c r="B117" s="3"/>
      <c r="C117" s="10"/>
      <c r="D117" s="10"/>
    </row>
    <row r="118" spans="2:4" x14ac:dyDescent="0.2">
      <c r="B118" s="3"/>
      <c r="C118" s="10"/>
      <c r="D118" s="10"/>
    </row>
    <row r="119" spans="2:4" x14ac:dyDescent="0.2">
      <c r="B119" s="3"/>
      <c r="C119" s="10"/>
      <c r="D119" s="10"/>
    </row>
    <row r="120" spans="2:4" x14ac:dyDescent="0.2">
      <c r="B120" s="3"/>
      <c r="C120" s="10"/>
      <c r="D120" s="10"/>
    </row>
    <row r="121" spans="2:4" x14ac:dyDescent="0.2">
      <c r="B121" s="3"/>
      <c r="C121" s="10"/>
      <c r="D121" s="10"/>
    </row>
    <row r="122" spans="2:4" x14ac:dyDescent="0.2">
      <c r="B122" s="3"/>
      <c r="C122" s="10"/>
      <c r="D122" s="10"/>
    </row>
    <row r="123" spans="2:4" x14ac:dyDescent="0.2">
      <c r="B123" s="3"/>
      <c r="C123" s="10"/>
      <c r="D123" s="10"/>
    </row>
    <row r="124" spans="2:4" x14ac:dyDescent="0.2">
      <c r="C124" s="10"/>
      <c r="D124" s="10"/>
    </row>
    <row r="125" spans="2:4" x14ac:dyDescent="0.2">
      <c r="C125" s="10"/>
      <c r="D125" s="10"/>
    </row>
    <row r="126" spans="2:4" x14ac:dyDescent="0.2">
      <c r="C126" s="10"/>
      <c r="D126" s="10"/>
    </row>
    <row r="127" spans="2:4" x14ac:dyDescent="0.2">
      <c r="C127" s="10"/>
      <c r="D127" s="10"/>
    </row>
    <row r="128" spans="2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30:D30" name="Range1"/>
  </protectedRanges>
  <phoneticPr fontId="7" type="noConversion"/>
  <hyperlinks>
    <hyperlink ref="T22" r:id="rId1" display="http://simbad.u-strasbg.fr/cgi-bin/cdsbib4?2007OEJV...74....1B"/>
    <hyperlink ref="H893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6"/>
  <sheetViews>
    <sheetView workbookViewId="0">
      <selection activeCell="A14" sqref="A14:D14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2" t="s">
        <v>48</v>
      </c>
      <c r="I1" s="33" t="s">
        <v>49</v>
      </c>
      <c r="J1" s="34" t="s">
        <v>50</v>
      </c>
    </row>
    <row r="2" spans="1:16" x14ac:dyDescent="0.2">
      <c r="I2" s="35" t="s">
        <v>51</v>
      </c>
      <c r="J2" s="36" t="s">
        <v>52</v>
      </c>
    </row>
    <row r="3" spans="1:16" x14ac:dyDescent="0.2">
      <c r="A3" s="37" t="s">
        <v>53</v>
      </c>
      <c r="I3" s="35" t="s">
        <v>54</v>
      </c>
      <c r="J3" s="36" t="s">
        <v>55</v>
      </c>
    </row>
    <row r="4" spans="1:16" x14ac:dyDescent="0.2">
      <c r="I4" s="35" t="s">
        <v>56</v>
      </c>
      <c r="J4" s="36" t="s">
        <v>55</v>
      </c>
    </row>
    <row r="5" spans="1:16" ht="13.5" thickBot="1" x14ac:dyDescent="0.25">
      <c r="I5" s="38" t="s">
        <v>57</v>
      </c>
      <c r="J5" s="39" t="s">
        <v>58</v>
      </c>
    </row>
    <row r="10" spans="1:16" ht="13.5" thickBot="1" x14ac:dyDescent="0.25"/>
    <row r="11" spans="1:16" ht="12.75" customHeight="1" thickBot="1" x14ac:dyDescent="0.25">
      <c r="A11" s="10" t="str">
        <f>P11</f>
        <v>BAVM 172 </v>
      </c>
      <c r="B11" s="3" t="str">
        <f>IF(H11=INT(H11),"I","II")</f>
        <v>I</v>
      </c>
      <c r="C11" s="10">
        <f>1*G11</f>
        <v>52876.411699999997</v>
      </c>
      <c r="D11" s="12" t="str">
        <f>VLOOKUP(F11,I$1:J$5,2,FALSE)</f>
        <v>vis</v>
      </c>
      <c r="E11" s="40">
        <f>VLOOKUP(C11,Active!C$21:E$973,3,FALSE)</f>
        <v>0</v>
      </c>
      <c r="F11" s="3" t="s">
        <v>57</v>
      </c>
      <c r="G11" s="12" t="str">
        <f>MID(I11,3,LEN(I11)-3)</f>
        <v>52876.4117</v>
      </c>
      <c r="H11" s="10">
        <f>1*K11</f>
        <v>465</v>
      </c>
      <c r="I11" s="41" t="s">
        <v>59</v>
      </c>
      <c r="J11" s="42" t="s">
        <v>60</v>
      </c>
      <c r="K11" s="41">
        <v>465</v>
      </c>
      <c r="L11" s="41" t="s">
        <v>61</v>
      </c>
      <c r="M11" s="42" t="s">
        <v>62</v>
      </c>
      <c r="N11" s="42" t="s">
        <v>63</v>
      </c>
      <c r="O11" s="43" t="s">
        <v>64</v>
      </c>
      <c r="P11" s="44" t="s">
        <v>65</v>
      </c>
    </row>
    <row r="12" spans="1:16" ht="12.75" customHeight="1" thickBot="1" x14ac:dyDescent="0.25">
      <c r="A12" s="10" t="str">
        <f>P12</f>
        <v>OEJV 0074 </v>
      </c>
      <c r="B12" s="3" t="str">
        <f>IF(H12=INT(H12),"I","II")</f>
        <v>I</v>
      </c>
      <c r="C12" s="10">
        <f>1*G12</f>
        <v>53227.478909999998</v>
      </c>
      <c r="D12" s="12" t="str">
        <f>VLOOKUP(F12,I$1:J$5,2,FALSE)</f>
        <v>vis</v>
      </c>
      <c r="E12" s="40">
        <f>VLOOKUP(C12,Active!C$21:E$973,3,FALSE)</f>
        <v>434.00708750135436</v>
      </c>
      <c r="F12" s="3" t="s">
        <v>57</v>
      </c>
      <c r="G12" s="12" t="str">
        <f>MID(I12,3,LEN(I12)-3)</f>
        <v>53227.47891</v>
      </c>
      <c r="H12" s="10">
        <f>1*K12</f>
        <v>899</v>
      </c>
      <c r="I12" s="41" t="s">
        <v>66</v>
      </c>
      <c r="J12" s="42" t="s">
        <v>67</v>
      </c>
      <c r="K12" s="41">
        <v>899</v>
      </c>
      <c r="L12" s="41" t="s">
        <v>68</v>
      </c>
      <c r="M12" s="42" t="s">
        <v>69</v>
      </c>
      <c r="N12" s="42" t="s">
        <v>57</v>
      </c>
      <c r="O12" s="43" t="s">
        <v>70</v>
      </c>
      <c r="P12" s="44" t="s">
        <v>71</v>
      </c>
    </row>
    <row r="13" spans="1:16" ht="12.75" customHeight="1" thickBot="1" x14ac:dyDescent="0.25">
      <c r="A13" s="10" t="str">
        <f>P13</f>
        <v>IBVS 5806 </v>
      </c>
      <c r="B13" s="3" t="str">
        <f>IF(H13=INT(H13),"I","II")</f>
        <v>I</v>
      </c>
      <c r="C13" s="10">
        <f>1*G13</f>
        <v>53996.7451</v>
      </c>
      <c r="D13" s="12" t="str">
        <f>VLOOKUP(F13,I$1:J$5,2,FALSE)</f>
        <v>vis</v>
      </c>
      <c r="E13" s="40">
        <f>VLOOKUP(C13,Active!C$21:E$973,3,FALSE)</f>
        <v>1385.0129608073898</v>
      </c>
      <c r="F13" s="3" t="s">
        <v>57</v>
      </c>
      <c r="G13" s="12" t="str">
        <f>MID(I13,3,LEN(I13)-3)</f>
        <v>53996.7451</v>
      </c>
      <c r="H13" s="10">
        <f>1*K13</f>
        <v>1850</v>
      </c>
      <c r="I13" s="41" t="s">
        <v>72</v>
      </c>
      <c r="J13" s="42" t="s">
        <v>73</v>
      </c>
      <c r="K13" s="41">
        <v>1850</v>
      </c>
      <c r="L13" s="41" t="s">
        <v>74</v>
      </c>
      <c r="M13" s="42" t="s">
        <v>69</v>
      </c>
      <c r="N13" s="42" t="s">
        <v>63</v>
      </c>
      <c r="O13" s="43" t="s">
        <v>75</v>
      </c>
      <c r="P13" s="44" t="s">
        <v>76</v>
      </c>
    </row>
    <row r="14" spans="1:16" ht="12.75" customHeight="1" thickBot="1" x14ac:dyDescent="0.25">
      <c r="A14" s="10" t="str">
        <f>P14</f>
        <v>IBVS 6011 </v>
      </c>
      <c r="B14" s="3" t="str">
        <f>IF(H14=INT(H14),"I","II")</f>
        <v>II</v>
      </c>
      <c r="C14" s="10">
        <f>1*G14</f>
        <v>55844.700599999996</v>
      </c>
      <c r="D14" s="12" t="str">
        <f>VLOOKUP(F14,I$1:J$5,2,FALSE)</f>
        <v>vis</v>
      </c>
      <c r="E14" s="40">
        <f>VLOOKUP(C14,Active!C$21:E$973,3,FALSE)</f>
        <v>3669.5492591051006</v>
      </c>
      <c r="F14" s="3" t="s">
        <v>57</v>
      </c>
      <c r="G14" s="12" t="str">
        <f>MID(I14,3,LEN(I14)-3)</f>
        <v>55844.7006</v>
      </c>
      <c r="H14" s="10">
        <f>1*K14</f>
        <v>4134.5</v>
      </c>
      <c r="I14" s="41" t="s">
        <v>77</v>
      </c>
      <c r="J14" s="42" t="s">
        <v>78</v>
      </c>
      <c r="K14" s="41">
        <v>4134.5</v>
      </c>
      <c r="L14" s="41" t="s">
        <v>79</v>
      </c>
      <c r="M14" s="42" t="s">
        <v>69</v>
      </c>
      <c r="N14" s="42" t="s">
        <v>57</v>
      </c>
      <c r="O14" s="43" t="s">
        <v>80</v>
      </c>
      <c r="P14" s="44" t="s">
        <v>81</v>
      </c>
    </row>
    <row r="15" spans="1:16" x14ac:dyDescent="0.2">
      <c r="B15" s="3"/>
      <c r="F15" s="3"/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</sheetData>
  <phoneticPr fontId="7" type="noConversion"/>
  <hyperlinks>
    <hyperlink ref="P11" r:id="rId1" display="http://www.bav-astro.de/sfs/BAVM_link.php?BAVMnr=172"/>
    <hyperlink ref="P12" r:id="rId2" display="http://var.astro.cz/oejv/issues/oejv0074.pdf"/>
    <hyperlink ref="P13" r:id="rId3" display="http://www.konkoly.hu/cgi-bin/IBVS?5806"/>
    <hyperlink ref="P14" r:id="rId4" display="http://www.konkoly.hu/cgi-bin/IBVS?601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2024-02-04T05:14:43Z</dcterms:modified>
</cp:coreProperties>
</file>