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5B1E3D2-3AED-4C6C-9EF9-EE98F5A1A8B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E14" i="1"/>
  <c r="Q22" i="1"/>
  <c r="C21" i="1"/>
  <c r="G11" i="1"/>
  <c r="C7" i="1"/>
  <c r="E22" i="1"/>
  <c r="F22" i="1"/>
  <c r="C8" i="1"/>
  <c r="C17" i="1"/>
  <c r="E21" i="1"/>
  <c r="F21" i="1"/>
  <c r="G21" i="1"/>
  <c r="Q21" i="1"/>
  <c r="G22" i="1"/>
  <c r="I22" i="1"/>
  <c r="R22" i="1"/>
  <c r="H21" i="1"/>
  <c r="C12" i="1"/>
  <c r="C16" i="1" l="1"/>
  <c r="D18" i="1" s="1"/>
  <c r="E15" i="1"/>
  <c r="C11" i="1"/>
  <c r="O21" i="1" l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<sst xmlns="http://schemas.openxmlformats.org/spreadsheetml/2006/main" count="46" uniqueCount="45">
  <si>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</si>
  <si>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</si>
  <si>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</si>
  <si>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</si>
  <si>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</si>
  <si>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</si>
  <si>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</si>
  <si>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</si>
  <si>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</si>
  <si>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</si>
  <si>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</si>
  <si>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</si>
  <si>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</si>
  <si>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</si>
  <si>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</si>
  <si>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</si>
  <si>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</si>
  <si>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</si>
  <si>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</si>
  <si>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</si>
  <si>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</si>
  <si>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</si>
  <si>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</si>
  <si>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</si>
  <si>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</si>
  <si>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</si>
  <si>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</si>
  <si>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</si>
  <si>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</si>
  <si>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</si>
  <si>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</si>
  <si>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</si>
  <si>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</si>
  <si>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</si>
  <si>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</si>
  <si>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</si>
  <si>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EB</t>
  </si>
  <si>
    <t>IBVS 5699 Eph.</t>
  </si>
  <si>
    <t>IBVS 5699</t>
  </si>
  <si>
    <t xml:space="preserve">V1941 Cyg / GSC 3193-0477 </t>
  </si>
  <si>
    <t>RHN 2014</t>
  </si>
  <si>
    <t>Nelson</t>
  </si>
  <si>
    <t>Add cycle</t>
  </si>
  <si>
    <t>Old Cycle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</si>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</sst>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0" xfId="0" applyFont="1">
      <alignment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V1941 Cyg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5444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FF-40E9-853B-2CC382A29BD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5444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2.3999999997613486E-2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FF-40E9-853B-2CC382A29BD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5444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FF-40E9-853B-2CC382A29BD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5444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FF-40E9-853B-2CC382A29BD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5444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FF-40E9-853B-2CC382A29BD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5444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FF-40E9-853B-2CC382A29BD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5444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0FF-40E9-853B-2CC382A29BD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5444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2.3999999997613486E-2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0FF-40E9-853B-2CC382A29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108288"/>
        <c:axId val="1"/>
      </c:scatterChart>
      <c:valAx>
        <c:axId val="572108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2108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75366568914952"/>
          <c:w val="0.664661654135338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0</xdr:row>
      <xdr:rowOff>0</xdr:rowOff>
    </xdr:from>
    <xdr:to>
      <xdr:col>17</xdr:col>
      <xdr:colOff>447675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A66DFC5-88B4-0276-4177-B93D4C3AB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22</v>
      </c>
      <c r="B2" s="12" t="s">
        <v>36</v>
      </c>
      <c r="C2" s="3"/>
      <c r="D2" s="3"/>
    </row>
    <row r="3" spans="1:7" ht="13.5" thickBot="1" x14ac:dyDescent="0.25"/>
    <row r="4" spans="1:7" ht="14.25" thickTop="1" thickBot="1" x14ac:dyDescent="0.25">
      <c r="A4" s="29" t="s">
        <v>37</v>
      </c>
      <c r="C4" s="8">
        <v>51420.91</v>
      </c>
      <c r="D4" s="9">
        <v>1.0119</v>
      </c>
    </row>
    <row r="6" spans="1:7" x14ac:dyDescent="0.2">
      <c r="A6" s="5" t="s">
        <v>0</v>
      </c>
    </row>
    <row r="7" spans="1:7" x14ac:dyDescent="0.2">
      <c r="A7" t="s">
        <v>1</v>
      </c>
      <c r="C7">
        <f>+C4</f>
        <v>51420.91</v>
      </c>
    </row>
    <row r="8" spans="1:7" x14ac:dyDescent="0.2">
      <c r="A8" t="s">
        <v>2</v>
      </c>
      <c r="C8">
        <f>+D4</f>
        <v>1.0119</v>
      </c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7" x14ac:dyDescent="0.2">
      <c r="A11" s="12" t="s">
        <v>14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15</v>
      </c>
      <c r="B12" s="12"/>
      <c r="C12" s="24">
        <f ca="1">SLOPE(INDIRECT($G$11):G992,INDIRECT($F$11):F992)</f>
        <v>4.4085231443081348E-6</v>
      </c>
      <c r="D12" s="3"/>
      <c r="E12" s="12"/>
    </row>
    <row r="13" spans="1:7" x14ac:dyDescent="0.2">
      <c r="A13" s="12" t="s">
        <v>17</v>
      </c>
      <c r="B13" s="12"/>
      <c r="C13" s="3" t="s">
        <v>12</v>
      </c>
      <c r="D13" s="16" t="s">
        <v>42</v>
      </c>
      <c r="E13" s="13">
        <v>1</v>
      </c>
    </row>
    <row r="14" spans="1:7" x14ac:dyDescent="0.2">
      <c r="A14" s="12"/>
      <c r="B14" s="12"/>
      <c r="C14" s="12"/>
      <c r="D14" s="16" t="s">
        <v>31</v>
      </c>
      <c r="E14" s="17">
        <f ca="1">NOW()+15018.5+$C$9/24</f>
        <v>60346.660536574069</v>
      </c>
    </row>
    <row r="15" spans="1:7" x14ac:dyDescent="0.2">
      <c r="A15" s="14" t="s">
        <v>16</v>
      </c>
      <c r="B15" s="12"/>
      <c r="C15" s="15">
        <f ca="1">(C7+C11)+(C8+C12)*INT(MAX(F21:F3533))</f>
        <v>56929.717600000004</v>
      </c>
      <c r="D15" s="16" t="s">
        <v>43</v>
      </c>
      <c r="E15" s="17">
        <f ca="1">ROUND(2*(E14-$C$7)/$C$8,0)/2+E13</f>
        <v>8822</v>
      </c>
    </row>
    <row r="16" spans="1:7" x14ac:dyDescent="0.2">
      <c r="A16" s="18" t="s">
        <v>3</v>
      </c>
      <c r="B16" s="12"/>
      <c r="C16" s="19">
        <f ca="1">+C8+C12</f>
        <v>1.0119044085231443</v>
      </c>
      <c r="D16" s="16" t="s">
        <v>32</v>
      </c>
      <c r="E16" s="26">
        <f ca="1">ROUND(2*(E14-$C$15)/$C$16,0)/2+E13</f>
        <v>3377.5</v>
      </c>
    </row>
    <row r="17" spans="1:18" ht="13.5" thickBot="1" x14ac:dyDescent="0.25">
      <c r="A17" s="16" t="s">
        <v>28</v>
      </c>
      <c r="B17" s="12"/>
      <c r="C17" s="12">
        <f>COUNT(C21:C2191)</f>
        <v>2</v>
      </c>
      <c r="D17" s="16" t="s">
        <v>33</v>
      </c>
      <c r="E17" s="20">
        <f ca="1">+$C$15+$C$16*E16-15018.5-$C$9/24</f>
        <v>45329.320573120262</v>
      </c>
    </row>
    <row r="18" spans="1:18" ht="14.25" thickTop="1" thickBot="1" x14ac:dyDescent="0.25">
      <c r="A18" s="18" t="s">
        <v>4</v>
      </c>
      <c r="B18" s="12"/>
      <c r="C18" s="21">
        <f ca="1">+C15</f>
        <v>56929.717600000004</v>
      </c>
      <c r="D18" s="22">
        <f ca="1">+C16</f>
        <v>1.0119044085231443</v>
      </c>
      <c r="E18" s="23" t="s">
        <v>34</v>
      </c>
    </row>
    <row r="19" spans="1:18" ht="13.5" thickTop="1" x14ac:dyDescent="0.2">
      <c r="A19" s="27" t="s">
        <v>35</v>
      </c>
      <c r="E19" s="28">
        <v>21</v>
      </c>
    </row>
    <row r="20" spans="1:18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27</v>
      </c>
      <c r="I20" s="7" t="s">
        <v>41</v>
      </c>
      <c r="J20" s="7" t="s">
        <v>44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8" x14ac:dyDescent="0.2">
      <c r="A21" s="30" t="s">
        <v>38</v>
      </c>
      <c r="C21" s="10">
        <f>+C4</f>
        <v>51420.91</v>
      </c>
      <c r="D21" s="10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36402.410000000003</v>
      </c>
    </row>
    <row r="22" spans="1:18" x14ac:dyDescent="0.2">
      <c r="A22" t="s">
        <v>40</v>
      </c>
      <c r="C22" s="10">
        <v>56929.717600000004</v>
      </c>
      <c r="D22" s="10">
        <v>4.0000000000000002E-4</v>
      </c>
      <c r="E22">
        <f>+(C22-C$7)/C$8</f>
        <v>5444.0237177586714</v>
      </c>
      <c r="F22">
        <f>ROUND(2*E22,0)/2</f>
        <v>5444</v>
      </c>
      <c r="G22">
        <f>+C22-(C$7+F22*C$8)</f>
        <v>2.3999999997613486E-2</v>
      </c>
      <c r="I22">
        <f>+G22</f>
        <v>2.3999999997613486E-2</v>
      </c>
      <c r="O22">
        <f ca="1">+C$11+C$12*$F22</f>
        <v>2.3999999997613486E-2</v>
      </c>
      <c r="Q22" s="2">
        <f>+C22-15018.5</f>
        <v>41911.217600000004</v>
      </c>
      <c r="R22" t="str">
        <f>IF(ABS(C22-C21)&lt;0.00001,1,"")</f>
        <v/>
      </c>
    </row>
    <row r="23" spans="1:18" x14ac:dyDescent="0.2">
      <c r="C23" s="10"/>
      <c r="D23" s="10"/>
      <c r="Q23" s="2"/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2024-02-06T02:51:10Z</dcterms:modified>
</cp:coreProperties>
</file>