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0E21E96-2337-425A-B919-4BA07093F89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G14" i="2" l="1"/>
  <c r="C14" i="2"/>
  <c r="E14" i="2"/>
  <c r="E25" i="1"/>
  <c r="G13" i="2"/>
  <c r="C13" i="2"/>
  <c r="E13" i="2"/>
  <c r="E24" i="1"/>
  <c r="G12" i="2"/>
  <c r="C12" i="2"/>
  <c r="E12" i="2"/>
  <c r="E22" i="1"/>
  <c r="G11" i="2"/>
  <c r="C11" i="2"/>
  <c r="E11" i="2"/>
  <c r="E21" i="1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C9" i="1"/>
  <c r="D9" i="1"/>
  <c r="E23" i="1"/>
  <c r="F23" i="1"/>
  <c r="G23" i="1"/>
  <c r="F24" i="1"/>
  <c r="G24" i="1"/>
  <c r="K24" i="1"/>
  <c r="F25" i="1"/>
  <c r="G25" i="1"/>
  <c r="K25" i="1"/>
  <c r="Q25" i="1"/>
  <c r="Q24" i="1"/>
  <c r="F21" i="1"/>
  <c r="F22" i="1"/>
  <c r="G22" i="1"/>
  <c r="J22" i="1"/>
  <c r="G21" i="1"/>
  <c r="J21" i="1"/>
  <c r="I23" i="1"/>
  <c r="Q21" i="1"/>
  <c r="Q22" i="1"/>
  <c r="F16" i="1"/>
  <c r="F17" i="1" s="1"/>
  <c r="C17" i="1"/>
  <c r="Q23" i="1"/>
  <c r="C11" i="1"/>
  <c r="C12" i="1"/>
  <c r="C16" i="1" l="1"/>
  <c r="D18" i="1" s="1"/>
  <c r="W11" i="1"/>
  <c r="W8" i="1"/>
  <c r="W4" i="1"/>
  <c r="O22" i="1"/>
  <c r="W2" i="1"/>
  <c r="O24" i="1"/>
  <c r="W5" i="1"/>
  <c r="W9" i="1"/>
  <c r="O23" i="1"/>
  <c r="O25" i="1"/>
  <c r="O21" i="1"/>
  <c r="W3" i="1"/>
  <c r="W6" i="1"/>
  <c r="W7" i="1"/>
  <c r="W10" i="1"/>
  <c r="C15" i="1"/>
  <c r="C18" i="1" l="1"/>
  <c r="F18" i="1"/>
  <c r="F19" i="1" s="1"/>
</calcChain>
</file>

<file path=xl/sharedStrings.xml><?xml version="1.0" encoding="utf-8"?>
<sst xmlns="http://schemas.openxmlformats.org/spreadsheetml/2006/main" count="103" uniqueCount="75">
  <si>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</si>
  <si>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</si>
  <si>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</si>
  <si>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</si>
  <si>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</si>
  <si>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</si>
  <si>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</si>
  <si>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</si>
  <si>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</si>
  <si>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</si>
  <si>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</si>
  <si>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</si>
  <si>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</si>
  <si>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</si>
  <si>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</si>
  <si>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</si>
  <si>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</si>
  <si>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</si>
  <si>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</si>
  <si>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</si>
  <si>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</si>
  <si>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</si>
  <si>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</si>
  <si>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</si>
  <si>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</si>
  <si>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</si>
  <si>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</si>
  <si>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</si>
  <si>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</si>
  <si>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</si>
  <si>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</si>
  <si>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</si>
  <si>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</si>
  <si>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</si>
  <si>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</si>
  <si>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</si>
  <si>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</si>
  <si>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</si>
  <si>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</si>
  <si>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V1961 Cyg / na</t>
  </si>
  <si>
    <t>EW</t>
  </si>
  <si>
    <t>IBVS 5657</t>
  </si>
  <si>
    <t>I</t>
  </si>
  <si>
    <t>OEJV 0160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</si>
  <si>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</si>
  <si>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</si>
  <si>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</si>
  <si>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</si>
  <si>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</si>
  <si>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</si>
  <si>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</si>
  <si>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</si>
  <si>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</si>
  <si>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</si>
  <si>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</si>
  <si>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2453259.3798 </t>
  </si>
  <si>
    <t> 10.09.2004 21:06 </t>
  </si>
  <si>
    <t> 0.0000 </t>
  </si>
  <si>
    <t>E </t>
  </si>
  <si>
    <t>o</t>
  </si>
  <si>
    <t> F.Agerer </t>
  </si>
  <si>
    <t>BAVM 173 </t>
  </si>
  <si>
    <t>2453259.5228 </t>
  </si>
  <si>
    <t> 11.09.2004 00:32 </t>
  </si>
  <si>
    <t> 0.1430 </t>
  </si>
  <si>
    <t>2456481.46864 </t>
  </si>
  <si>
    <t> 07.07.2013 23:14 </t>
  </si>
  <si>
    <t> 3222.08884 </t>
  </si>
  <si>
    <t>C </t>
  </si>
  <si>
    <t>R</t>
  </si>
  <si>
    <t> R.Auer </t>
  </si>
  <si>
    <t>OEJV 0160 </t>
  </si>
  <si>
    <t>2456481.46923 </t>
  </si>
  <si>
    <t> 07.07.2013 23:15 </t>
  </si>
  <si>
    <t> 3222.08943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</si>
</sst>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2" borderId="0" xfId="0" applyFont="1" applyFill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3" borderId="11" xfId="0" applyFont="1" applyFill="1" applyBorder="1" applyAlignment="1">
      <alignment horizontal="left" vertical="top" wrapText="1" indent="1"/>
    </xf>
    <xf numFmtId="0" fontId="5" fillId="3" borderId="11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right" vertical="top" wrapText="1"/>
    </xf>
    <xf numFmtId="0" fontId="18" fillId="3" borderId="11" xfId="7" applyFill="1" applyBorder="1" applyAlignment="1" applyProtection="1">
      <alignment horizontal="right" vertical="top" wrapText="1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V1961 Cyg - O-C Diagr.</a:t>
            </a:r>
          </a:p>
        </c:rich>
      </c:tx>
      <c:layout>
        <c:manualLayout>
          <c:xMode val="edge"/>
          <c:yMode val="edge"/>
          <c:x val="0.39863325740318906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20045558086561"/>
          <c:y val="0.14457831325301204"/>
          <c:w val="0.85649202733485197"/>
          <c:h val="0.6355421686746988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2.3999999999999998E-3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2.3999999999999998E-3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3228.5</c:v>
                </c:pt>
                <c:pt idx="3">
                  <c:v>9650.5</c:v>
                </c:pt>
                <c:pt idx="4">
                  <c:v>9650.5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02-4E93-87C6-55372712B71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2.3999999999999998E-3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2.3999999999999998E-3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3228.5</c:v>
                </c:pt>
                <c:pt idx="3">
                  <c:v>9650.5</c:v>
                </c:pt>
                <c:pt idx="4">
                  <c:v>9650.5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6.1219499999424443E-2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02-4E93-87C6-55372712B71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2.3999999999999998E-3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2.3999999999999998E-3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3228.5</c:v>
                </c:pt>
                <c:pt idx="3">
                  <c:v>9650.5</c:v>
                </c:pt>
                <c:pt idx="4">
                  <c:v>9650.5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</c:v>
                </c:pt>
                <c:pt idx="1">
                  <c:v>-2.3936500001582317E-2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02-4E93-87C6-55372712B71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2.3999999999999998E-3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2.3999999999999998E-3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3228.5</c:v>
                </c:pt>
                <c:pt idx="3">
                  <c:v>9650.5</c:v>
                </c:pt>
                <c:pt idx="4">
                  <c:v>9650.5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4.74534999957541E-2</c:v>
                </c:pt>
                <c:pt idx="4">
                  <c:v>4.8043499999039341E-2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02-4E93-87C6-55372712B71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2.3999999999999998E-3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2.3999999999999998E-3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3228.5</c:v>
                </c:pt>
                <c:pt idx="3">
                  <c:v>9650.5</c:v>
                </c:pt>
                <c:pt idx="4">
                  <c:v>9650.5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02-4E93-87C6-55372712B71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2.3999999999999998E-3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2.3999999999999998E-3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3228.5</c:v>
                </c:pt>
                <c:pt idx="3">
                  <c:v>9650.5</c:v>
                </c:pt>
                <c:pt idx="4">
                  <c:v>9650.5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802-4E93-87C6-55372712B71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2.3999999999999998E-3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2.3999999999999998E-3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3228.5</c:v>
                </c:pt>
                <c:pt idx="3">
                  <c:v>9650.5</c:v>
                </c:pt>
                <c:pt idx="4">
                  <c:v>9650.5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802-4E93-87C6-55372712B71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3228.5</c:v>
                </c:pt>
                <c:pt idx="3">
                  <c:v>9650.5</c:v>
                </c:pt>
                <c:pt idx="4">
                  <c:v>9650.5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1.8912769601002292E-3</c:v>
                </c:pt>
                <c:pt idx="1">
                  <c:v>1.8940138357147905E-3</c:v>
                </c:pt>
                <c:pt idx="2">
                  <c:v>1.9563282803322864E-2</c:v>
                </c:pt>
                <c:pt idx="3">
                  <c:v>5.4715713196748839E-2</c:v>
                </c:pt>
                <c:pt idx="4">
                  <c:v>5.4715713196748839E-2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802-4E93-87C6-55372712B71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3228.5</c:v>
                </c:pt>
                <c:pt idx="3">
                  <c:v>9650.5</c:v>
                </c:pt>
                <c:pt idx="4">
                  <c:v>9650.5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802-4E93-87C6-55372712B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5031128"/>
        <c:axId val="1"/>
      </c:scatterChart>
      <c:valAx>
        <c:axId val="575031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5694760820043"/>
              <c:y val="0.840361445783132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41913439635535E-2"/>
              <c:y val="0.370481927710843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5031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71070615034167"/>
          <c:y val="0.92168674698795183"/>
          <c:w val="0.54100227790432798"/>
          <c:h val="6.02409638554216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20</xdr:col>
      <xdr:colOff>200025</xdr:colOff>
      <xdr:row>18</xdr:row>
      <xdr:rowOff>66675</xdr:rowOff>
    </xdr:to>
    <xdr:graphicFrame macro="">
      <xdr:nvGraphicFramePr>
        <xdr:cNvPr id="1027" name="Chart 2">
          <a:extLst>
            <a:ext uri="{FF2B5EF4-FFF2-40B4-BE49-F238E27FC236}">
              <a16:creationId xmlns:a16="http://schemas.microsoft.com/office/drawing/2014/main" id="{85EFCEB8-46D2-315A-F1B1-CCDDBB030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173" TargetMode="External"/><Relationship Id="rId1" Type="http://schemas.openxmlformats.org/officeDocument/2006/relationships/hyperlink" Target="http://www.bav-astro.de/sfs/BAVM_link.php?BAVMnr=173" TargetMode="External"/><Relationship Id="rId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23" ht="21" thickBot="1" x14ac:dyDescent="0.35">
      <c r="A1" s="1" t="s">
        <v>39</v>
      </c>
      <c r="V1" s="4" t="s">
        <v>10</v>
      </c>
      <c r="W1" s="4" t="s">
        <v>22</v>
      </c>
    </row>
    <row r="2" spans="1:23" x14ac:dyDescent="0.2">
      <c r="A2" t="s">
        <v>23</v>
      </c>
      <c r="B2" t="s">
        <v>40</v>
      </c>
      <c r="C2" s="3"/>
      <c r="D2" s="3"/>
      <c r="V2">
        <v>0</v>
      </c>
      <c r="W2">
        <f t="shared" ref="W2:W11" ca="1" si="0">+C$11+C$12*$V2</f>
        <v>1.8912769601002292E-3</v>
      </c>
    </row>
    <row r="3" spans="1:23" ht="13.5" thickBot="1" x14ac:dyDescent="0.25">
      <c r="V3">
        <v>0.2</v>
      </c>
      <c r="W3">
        <f t="shared" ca="1" si="0"/>
        <v>1.8923717103460538E-3</v>
      </c>
    </row>
    <row r="4" spans="1:23" ht="14.25" thickTop="1" thickBot="1" x14ac:dyDescent="0.25">
      <c r="A4" s="5" t="s">
        <v>0</v>
      </c>
      <c r="C4" s="27" t="s">
        <v>37</v>
      </c>
      <c r="D4" s="28" t="s">
        <v>37</v>
      </c>
      <c r="V4">
        <v>0.4</v>
      </c>
      <c r="W4">
        <f t="shared" ca="1" si="0"/>
        <v>1.8934664605918783E-3</v>
      </c>
    </row>
    <row r="5" spans="1:23" ht="13.5" thickTop="1" x14ac:dyDescent="0.2">
      <c r="A5" s="9" t="s">
        <v>28</v>
      </c>
      <c r="B5" s="10"/>
      <c r="C5" s="11">
        <v>-9.5</v>
      </c>
      <c r="D5" s="10" t="s">
        <v>29</v>
      </c>
      <c r="V5">
        <v>0.6</v>
      </c>
      <c r="W5">
        <f t="shared" ca="1" si="0"/>
        <v>1.8945612108377029E-3</v>
      </c>
    </row>
    <row r="6" spans="1:23" x14ac:dyDescent="0.2">
      <c r="A6" s="5" t="s">
        <v>1</v>
      </c>
      <c r="V6">
        <v>0.8</v>
      </c>
      <c r="W6">
        <f t="shared" ca="1" si="0"/>
        <v>1.8956559610835274E-3</v>
      </c>
    </row>
    <row r="7" spans="1:23" x14ac:dyDescent="0.2">
      <c r="A7" t="s">
        <v>2</v>
      </c>
      <c r="C7" s="51">
        <v>53259.379800000002</v>
      </c>
      <c r="D7" s="29" t="s">
        <v>38</v>
      </c>
      <c r="V7">
        <v>1</v>
      </c>
      <c r="W7">
        <f t="shared" ca="1" si="0"/>
        <v>1.896750711329352E-3</v>
      </c>
    </row>
    <row r="8" spans="1:23" x14ac:dyDescent="0.2">
      <c r="A8" t="s">
        <v>3</v>
      </c>
      <c r="C8" s="51">
        <v>0.33387299999999998</v>
      </c>
      <c r="D8" s="29" t="s">
        <v>38</v>
      </c>
      <c r="V8">
        <v>1.2</v>
      </c>
      <c r="W8">
        <f t="shared" ca="1" si="0"/>
        <v>1.8978454615751765E-3</v>
      </c>
    </row>
    <row r="9" spans="1:23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  <c r="V9">
        <v>1.4</v>
      </c>
      <c r="W9">
        <f t="shared" ca="1" si="0"/>
        <v>1.8989402118210011E-3</v>
      </c>
    </row>
    <row r="10" spans="1:23" ht="13.5" thickBot="1" x14ac:dyDescent="0.25">
      <c r="A10" s="10"/>
      <c r="B10" s="10"/>
      <c r="C10" s="4" t="s">
        <v>19</v>
      </c>
      <c r="D10" s="4" t="s">
        <v>20</v>
      </c>
      <c r="E10" s="10"/>
      <c r="V10">
        <v>1.6</v>
      </c>
      <c r="W10">
        <f t="shared" ca="1" si="0"/>
        <v>1.9000349620668256E-3</v>
      </c>
    </row>
    <row r="11" spans="1:23" x14ac:dyDescent="0.2">
      <c r="A11" s="10" t="s">
        <v>15</v>
      </c>
      <c r="B11" s="10"/>
      <c r="C11" s="21">
        <f ca="1">INTERCEPT(INDIRECT($D$9):G992,INDIRECT($C$9):F992)</f>
        <v>1.8912769601002292E-3</v>
      </c>
      <c r="D11" s="3"/>
      <c r="E11" s="10"/>
      <c r="V11">
        <v>1.8</v>
      </c>
      <c r="W11">
        <f t="shared" ca="1" si="0"/>
        <v>1.9011297123126502E-3</v>
      </c>
    </row>
    <row r="12" spans="1:23" x14ac:dyDescent="0.2">
      <c r="A12" s="10" t="s">
        <v>16</v>
      </c>
      <c r="B12" s="10"/>
      <c r="C12" s="21">
        <f ca="1">SLOPE(INDIRECT($D$9):G992,INDIRECT($C$9):F992)</f>
        <v>5.4737512291226995E-6</v>
      </c>
      <c r="D12" s="3"/>
      <c r="E12" s="10"/>
    </row>
    <row r="13" spans="1:23" x14ac:dyDescent="0.2">
      <c r="A13" s="10" t="s">
        <v>18</v>
      </c>
      <c r="B13" s="10"/>
      <c r="C13" s="3" t="s">
        <v>13</v>
      </c>
    </row>
    <row r="14" spans="1:23" x14ac:dyDescent="0.2">
      <c r="A14" s="10"/>
      <c r="B14" s="10"/>
      <c r="C14" s="10"/>
    </row>
    <row r="15" spans="1:23" x14ac:dyDescent="0.2">
      <c r="A15" s="12" t="s">
        <v>17</v>
      </c>
      <c r="B15" s="10"/>
      <c r="C15" s="13">
        <f ca="1">(C7+C11)+(C8+C12)*INT(MAX(F21:F3533))</f>
        <v>56481.30896297632</v>
      </c>
      <c r="E15" s="14" t="s">
        <v>34</v>
      </c>
      <c r="F15" s="11">
        <v>1</v>
      </c>
    </row>
    <row r="16" spans="1:23" x14ac:dyDescent="0.2">
      <c r="A16" s="16" t="s">
        <v>4</v>
      </c>
      <c r="B16" s="10"/>
      <c r="C16" s="17">
        <f ca="1">+C8+C12</f>
        <v>0.33387847375122909</v>
      </c>
      <c r="E16" s="14" t="s">
        <v>30</v>
      </c>
      <c r="F16" s="15">
        <f ca="1">NOW()+15018.5+$C$5/24</f>
        <v>60346.665481597222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35</v>
      </c>
      <c r="F17" s="15">
        <f ca="1">ROUND(2*(F16-$C$7)/$C$8,0)/2+F15</f>
        <v>21228.5</v>
      </c>
    </row>
    <row r="18" spans="1:21" ht="14.25" thickTop="1" thickBot="1" x14ac:dyDescent="0.25">
      <c r="A18" s="16" t="s">
        <v>5</v>
      </c>
      <c r="B18" s="10"/>
      <c r="C18" s="19">
        <f ca="1">+C15</f>
        <v>56481.30896297632</v>
      </c>
      <c r="D18" s="20">
        <f ca="1">+C16</f>
        <v>0.33387847375122909</v>
      </c>
      <c r="E18" s="14" t="s">
        <v>36</v>
      </c>
      <c r="F18" s="23">
        <f ca="1">ROUND(2*(F16-$C$15)/$C$16,0)/2+F15</f>
        <v>11578</v>
      </c>
    </row>
    <row r="19" spans="1:21" ht="13.5" thickTop="1" x14ac:dyDescent="0.2">
      <c r="E19" s="14" t="s">
        <v>31</v>
      </c>
      <c r="F19" s="18">
        <f ca="1">+$C$15+$C$16*F18-15018.5-$C$5/24</f>
        <v>45328.849765401385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51</v>
      </c>
      <c r="I20" s="7" t="s">
        <v>54</v>
      </c>
      <c r="J20" s="7" t="s">
        <v>48</v>
      </c>
      <c r="K20" s="7" t="s">
        <v>46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26" t="s">
        <v>33</v>
      </c>
    </row>
    <row r="21" spans="1:21" x14ac:dyDescent="0.2">
      <c r="A21" s="31" t="s">
        <v>41</v>
      </c>
      <c r="B21" s="32" t="s">
        <v>42</v>
      </c>
      <c r="C21" s="31">
        <v>53259.379800000002</v>
      </c>
      <c r="D21" s="31">
        <v>2.3999999999999998E-3</v>
      </c>
      <c r="E21">
        <f>+(C21-C$7)/C$8</f>
        <v>0</v>
      </c>
      <c r="F21">
        <f>ROUND(2*E21,0)/2</f>
        <v>0</v>
      </c>
      <c r="G21">
        <f>+C21-(C$7+F21*C$8)</f>
        <v>0</v>
      </c>
      <c r="J21">
        <f>+G21</f>
        <v>0</v>
      </c>
      <c r="O21">
        <f ca="1">+C$11+C$12*$F21</f>
        <v>1.8912769601002292E-3</v>
      </c>
      <c r="Q21" s="2">
        <f>+C21-15018.5</f>
        <v>38240.879800000002</v>
      </c>
      <c r="R21" s="2"/>
      <c r="S21" s="2"/>
      <c r="T21" s="2"/>
    </row>
    <row r="22" spans="1:21" x14ac:dyDescent="0.2">
      <c r="A22" s="31" t="s">
        <v>41</v>
      </c>
      <c r="B22" s="32" t="s">
        <v>42</v>
      </c>
      <c r="C22" s="31">
        <v>53259.522799999999</v>
      </c>
      <c r="D22" s="31">
        <v>8.0000000000000004E-4</v>
      </c>
      <c r="E22">
        <f>+(C22-C$7)/C$8</f>
        <v>0.42830657164967256</v>
      </c>
      <c r="F22">
        <f>ROUND(2*E22,0)/2</f>
        <v>0.5</v>
      </c>
      <c r="G22">
        <f>+C22-(C$7+F22*C$8)</f>
        <v>-2.3936500001582317E-2</v>
      </c>
      <c r="J22">
        <f>+G22</f>
        <v>-2.3936500001582317E-2</v>
      </c>
      <c r="O22">
        <f ca="1">+C$11+C$12*$F22</f>
        <v>1.8940138357147905E-3</v>
      </c>
      <c r="Q22" s="2">
        <f>+C22-15018.5</f>
        <v>38241.022799999999</v>
      </c>
      <c r="R22" s="2"/>
      <c r="S22" s="2"/>
      <c r="T22" s="2"/>
    </row>
    <row r="23" spans="1:21" x14ac:dyDescent="0.2">
      <c r="A23" t="s">
        <v>38</v>
      </c>
      <c r="C23" s="8">
        <v>54337.35</v>
      </c>
      <c r="D23" s="8" t="s">
        <v>13</v>
      </c>
      <c r="E23">
        <f>+(C23-C$7)/C$8</f>
        <v>3228.6833616374975</v>
      </c>
      <c r="F23">
        <f>ROUND(2*E23,0)/2</f>
        <v>3228.5</v>
      </c>
      <c r="G23">
        <f>+C23-(C$7+F23*C$8)</f>
        <v>6.1219499999424443E-2</v>
      </c>
      <c r="I23">
        <f>+G23</f>
        <v>6.1219499999424443E-2</v>
      </c>
      <c r="O23">
        <f ca="1">+C$11+C$12*$F23</f>
        <v>1.9563282803322864E-2</v>
      </c>
      <c r="Q23" s="2">
        <f>+C23-15018.5</f>
        <v>39318.85</v>
      </c>
      <c r="R23" s="2"/>
      <c r="S23" s="2"/>
      <c r="T23" s="2"/>
    </row>
    <row r="24" spans="1:21" x14ac:dyDescent="0.2">
      <c r="A24" s="33" t="s">
        <v>43</v>
      </c>
      <c r="B24" s="34" t="s">
        <v>42</v>
      </c>
      <c r="C24" s="35">
        <v>56481.468639999999</v>
      </c>
      <c r="D24" s="35">
        <v>4.0000000000000002E-4</v>
      </c>
      <c r="E24">
        <f>+(C24-C$7)/C$8</f>
        <v>9650.6421303908883</v>
      </c>
      <c r="F24" s="30">
        <f>ROUND(2*E24,0)/2</f>
        <v>9650.5</v>
      </c>
      <c r="G24">
        <f>+C24-(C$7+F24*C$8)</f>
        <v>4.74534999957541E-2</v>
      </c>
      <c r="K24">
        <f>+G24</f>
        <v>4.74534999957541E-2</v>
      </c>
      <c r="O24">
        <f ca="1">+C$11+C$12*$F24</f>
        <v>5.4715713196748839E-2</v>
      </c>
      <c r="Q24" s="2">
        <f>+C24-15018.5</f>
        <v>41462.968639999999</v>
      </c>
      <c r="R24" s="2"/>
      <c r="S24" s="2"/>
      <c r="T24" s="2"/>
    </row>
    <row r="25" spans="1:21" x14ac:dyDescent="0.2">
      <c r="A25" s="33" t="s">
        <v>43</v>
      </c>
      <c r="B25" s="34" t="s">
        <v>42</v>
      </c>
      <c r="C25" s="35">
        <v>56481.469230000002</v>
      </c>
      <c r="D25" s="35">
        <v>5.9999999999999995E-4</v>
      </c>
      <c r="E25">
        <f>+(C25-C$7)/C$8</f>
        <v>9650.6438975299006</v>
      </c>
      <c r="F25" s="30">
        <f>ROUND(2*E25,0)/2</f>
        <v>9650.5</v>
      </c>
      <c r="G25">
        <f>+C25-(C$7+F25*C$8)</f>
        <v>4.8043499999039341E-2</v>
      </c>
      <c r="K25">
        <f>+G25</f>
        <v>4.8043499999039341E-2</v>
      </c>
      <c r="O25">
        <f ca="1">+C$11+C$12*$F25</f>
        <v>5.4715713196748839E-2</v>
      </c>
      <c r="Q25" s="2">
        <f>+C25-15018.5</f>
        <v>41462.969230000002</v>
      </c>
      <c r="R25" s="2"/>
      <c r="S25" s="2"/>
      <c r="T25" s="2"/>
    </row>
    <row r="26" spans="1:21" x14ac:dyDescent="0.2">
      <c r="A26" s="36"/>
      <c r="B26" s="37"/>
      <c r="C26" s="36"/>
      <c r="D26" s="36"/>
      <c r="Q26" s="2"/>
      <c r="R26" s="2"/>
      <c r="S26" s="2"/>
      <c r="T26" s="2"/>
    </row>
    <row r="27" spans="1:21" x14ac:dyDescent="0.2">
      <c r="A27" s="36"/>
      <c r="B27" s="37"/>
      <c r="C27" s="36"/>
      <c r="D27" s="36"/>
      <c r="Q27" s="2"/>
      <c r="R27" s="2"/>
      <c r="S27" s="2"/>
      <c r="T27" s="2"/>
    </row>
    <row r="28" spans="1:21" x14ac:dyDescent="0.2">
      <c r="C28" s="8"/>
      <c r="D28" s="8"/>
      <c r="Q28" s="2"/>
      <c r="R28" s="2"/>
      <c r="S28" s="2"/>
      <c r="T28" s="2"/>
    </row>
    <row r="29" spans="1:21" x14ac:dyDescent="0.2">
      <c r="C29" s="8"/>
      <c r="D29" s="8"/>
      <c r="Q29" s="2"/>
      <c r="R29" s="2"/>
      <c r="S29" s="2"/>
      <c r="T29" s="2"/>
    </row>
    <row r="30" spans="1:21" x14ac:dyDescent="0.2">
      <c r="C30" s="8"/>
      <c r="D30" s="8"/>
      <c r="Q30" s="2"/>
      <c r="R30" s="2"/>
      <c r="S30" s="2"/>
      <c r="T30" s="2"/>
    </row>
    <row r="31" spans="1:21" x14ac:dyDescent="0.2">
      <c r="C31" s="8"/>
      <c r="D31" s="8"/>
      <c r="Q31" s="2"/>
      <c r="R31" s="2"/>
      <c r="S31" s="2"/>
      <c r="T31" s="2"/>
    </row>
    <row r="32" spans="1:21" x14ac:dyDescent="0.2">
      <c r="C32" s="8"/>
      <c r="D32" s="8"/>
      <c r="Q32" s="2"/>
      <c r="R32" s="2"/>
      <c r="S32" s="2"/>
      <c r="T32" s="2"/>
    </row>
    <row r="33" spans="3:20" x14ac:dyDescent="0.2">
      <c r="C33" s="8"/>
      <c r="D33" s="8"/>
      <c r="Q33" s="2"/>
      <c r="R33" s="2"/>
      <c r="S33" s="2"/>
      <c r="T33" s="2"/>
    </row>
    <row r="34" spans="3:20" x14ac:dyDescent="0.2">
      <c r="C34" s="8"/>
      <c r="D34" s="8"/>
    </row>
    <row r="35" spans="3:20" x14ac:dyDescent="0.2">
      <c r="C35" s="8"/>
      <c r="D35" s="8"/>
    </row>
    <row r="36" spans="3:20" x14ac:dyDescent="0.2">
      <c r="C36" s="8"/>
      <c r="D36" s="8"/>
    </row>
    <row r="37" spans="3:20" x14ac:dyDescent="0.2">
      <c r="C37" s="8"/>
      <c r="D37" s="8"/>
    </row>
    <row r="38" spans="3:20" x14ac:dyDescent="0.2">
      <c r="C38" s="8"/>
      <c r="D38" s="8"/>
    </row>
    <row r="39" spans="3:20" x14ac:dyDescent="0.2">
      <c r="C39" s="8"/>
      <c r="D39" s="8"/>
    </row>
    <row r="40" spans="3:20" x14ac:dyDescent="0.2">
      <c r="C40" s="8"/>
      <c r="D40" s="8"/>
    </row>
    <row r="41" spans="3:20" x14ac:dyDescent="0.2">
      <c r="C41" s="8"/>
      <c r="D41" s="8"/>
    </row>
    <row r="42" spans="3:20" x14ac:dyDescent="0.2">
      <c r="C42" s="8"/>
      <c r="D42" s="8"/>
    </row>
    <row r="43" spans="3:20" x14ac:dyDescent="0.2">
      <c r="C43" s="8"/>
      <c r="D43" s="8"/>
    </row>
    <row r="44" spans="3:20" x14ac:dyDescent="0.2">
      <c r="C44" s="8"/>
      <c r="D44" s="8"/>
    </row>
    <row r="45" spans="3:20" x14ac:dyDescent="0.2">
      <c r="C45" s="8"/>
      <c r="D45" s="8"/>
    </row>
    <row r="46" spans="3:20" x14ac:dyDescent="0.2">
      <c r="C46" s="8"/>
      <c r="D46" s="8"/>
    </row>
    <row r="47" spans="3:20" x14ac:dyDescent="0.2">
      <c r="C47" s="8"/>
      <c r="D47" s="8"/>
    </row>
    <row r="48" spans="3:20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0"/>
  <sheetViews>
    <sheetView workbookViewId="0">
      <selection activeCell="A11" sqref="A11:IV448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44</v>
      </c>
      <c r="I1" s="39" t="s">
        <v>45</v>
      </c>
      <c r="J1" s="40" t="s">
        <v>46</v>
      </c>
    </row>
    <row r="2" spans="1:16" x14ac:dyDescent="0.2">
      <c r="I2" s="41" t="s">
        <v>47</v>
      </c>
      <c r="J2" s="42" t="s">
        <v>48</v>
      </c>
    </row>
    <row r="3" spans="1:16" x14ac:dyDescent="0.2">
      <c r="A3" s="43" t="s">
        <v>49</v>
      </c>
      <c r="I3" s="41" t="s">
        <v>50</v>
      </c>
      <c r="J3" s="42" t="s">
        <v>51</v>
      </c>
    </row>
    <row r="4" spans="1:16" x14ac:dyDescent="0.2">
      <c r="I4" s="41" t="s">
        <v>52</v>
      </c>
      <c r="J4" s="42" t="s">
        <v>51</v>
      </c>
    </row>
    <row r="5" spans="1:16" ht="13.5" thickBot="1" x14ac:dyDescent="0.25">
      <c r="I5" s="44" t="s">
        <v>53</v>
      </c>
      <c r="J5" s="45" t="s">
        <v>54</v>
      </c>
    </row>
    <row r="10" spans="1:16" ht="13.5" thickBot="1" x14ac:dyDescent="0.25"/>
    <row r="11" spans="1:16" ht="12.75" customHeight="1" thickBot="1" x14ac:dyDescent="0.25">
      <c r="A11" s="8" t="str">
        <f>P11</f>
        <v>BAVM 173 </v>
      </c>
      <c r="B11" s="3" t="str">
        <f>IF(H11=INT(H11),"I","II")</f>
        <v>I</v>
      </c>
      <c r="C11" s="8">
        <f>1*G11</f>
        <v>53259.379800000002</v>
      </c>
      <c r="D11" s="10" t="str">
        <f>VLOOKUP(F11,I$1:J$5,2,FALSE)</f>
        <v>vis</v>
      </c>
      <c r="E11" s="46">
        <f>VLOOKUP(C11,Active!C$21:E$973,3,FALSE)</f>
        <v>0</v>
      </c>
      <c r="F11" s="3" t="s">
        <v>53</v>
      </c>
      <c r="G11" s="10" t="str">
        <f>MID(I11,3,LEN(I11)-3)</f>
        <v>53259.3798</v>
      </c>
      <c r="H11" s="8">
        <f>1*K11</f>
        <v>0</v>
      </c>
      <c r="I11" s="47" t="s">
        <v>55</v>
      </c>
      <c r="J11" s="48" t="s">
        <v>56</v>
      </c>
      <c r="K11" s="47">
        <v>0</v>
      </c>
      <c r="L11" s="47" t="s">
        <v>57</v>
      </c>
      <c r="M11" s="48" t="s">
        <v>58</v>
      </c>
      <c r="N11" s="48" t="s">
        <v>59</v>
      </c>
      <c r="O11" s="49" t="s">
        <v>60</v>
      </c>
      <c r="P11" s="50" t="s">
        <v>61</v>
      </c>
    </row>
    <row r="12" spans="1:16" ht="12.75" customHeight="1" thickBot="1" x14ac:dyDescent="0.25">
      <c r="A12" s="8" t="str">
        <f>P12</f>
        <v>BAVM 173 </v>
      </c>
      <c r="B12" s="3" t="str">
        <f>IF(H12=INT(H12),"I","II")</f>
        <v>I</v>
      </c>
      <c r="C12" s="8">
        <f>1*G12</f>
        <v>53259.522799999999</v>
      </c>
      <c r="D12" s="10" t="str">
        <f>VLOOKUP(F12,I$1:J$5,2,FALSE)</f>
        <v>vis</v>
      </c>
      <c r="E12" s="46">
        <f>VLOOKUP(C12,Active!C$21:E$973,3,FALSE)</f>
        <v>0.42830657164967256</v>
      </c>
      <c r="F12" s="3" t="s">
        <v>53</v>
      </c>
      <c r="G12" s="10" t="str">
        <f>MID(I12,3,LEN(I12)-3)</f>
        <v>53259.5228</v>
      </c>
      <c r="H12" s="8">
        <f>1*K12</f>
        <v>0</v>
      </c>
      <c r="I12" s="47" t="s">
        <v>62</v>
      </c>
      <c r="J12" s="48" t="s">
        <v>63</v>
      </c>
      <c r="K12" s="47">
        <v>0</v>
      </c>
      <c r="L12" s="47" t="s">
        <v>64</v>
      </c>
      <c r="M12" s="48" t="s">
        <v>58</v>
      </c>
      <c r="N12" s="48" t="s">
        <v>59</v>
      </c>
      <c r="O12" s="49" t="s">
        <v>60</v>
      </c>
      <c r="P12" s="50" t="s">
        <v>61</v>
      </c>
    </row>
    <row r="13" spans="1:16" ht="12.75" customHeight="1" thickBot="1" x14ac:dyDescent="0.25">
      <c r="A13" s="8" t="str">
        <f>P13</f>
        <v>OEJV 0160 </v>
      </c>
      <c r="B13" s="3" t="str">
        <f>IF(H13=INT(H13),"I","II")</f>
        <v>I</v>
      </c>
      <c r="C13" s="8">
        <f>1*G13</f>
        <v>56481.468639999999</v>
      </c>
      <c r="D13" s="10" t="str">
        <f>VLOOKUP(F13,I$1:J$5,2,FALSE)</f>
        <v>vis</v>
      </c>
      <c r="E13" s="46">
        <f>VLOOKUP(C13,Active!C$21:E$973,3,FALSE)</f>
        <v>9650.6421303908883</v>
      </c>
      <c r="F13" s="3" t="s">
        <v>53</v>
      </c>
      <c r="G13" s="10" t="str">
        <f>MID(I13,3,LEN(I13)-3)</f>
        <v>56481.46864</v>
      </c>
      <c r="H13" s="8">
        <f>1*K13</f>
        <v>0</v>
      </c>
      <c r="I13" s="47" t="s">
        <v>65</v>
      </c>
      <c r="J13" s="48" t="s">
        <v>66</v>
      </c>
      <c r="K13" s="47">
        <v>0</v>
      </c>
      <c r="L13" s="47" t="s">
        <v>67</v>
      </c>
      <c r="M13" s="48" t="s">
        <v>68</v>
      </c>
      <c r="N13" s="48" t="s">
        <v>69</v>
      </c>
      <c r="O13" s="49" t="s">
        <v>70</v>
      </c>
      <c r="P13" s="50" t="s">
        <v>71</v>
      </c>
    </row>
    <row r="14" spans="1:16" ht="12.75" customHeight="1" thickBot="1" x14ac:dyDescent="0.25">
      <c r="A14" s="8" t="str">
        <f>P14</f>
        <v>OEJV 0160 </v>
      </c>
      <c r="B14" s="3" t="str">
        <f>IF(H14=INT(H14),"I","II")</f>
        <v>I</v>
      </c>
      <c r="C14" s="8">
        <f>1*G14</f>
        <v>56481.469230000002</v>
      </c>
      <c r="D14" s="10" t="str">
        <f>VLOOKUP(F14,I$1:J$5,2,FALSE)</f>
        <v>vis</v>
      </c>
      <c r="E14" s="46">
        <f>VLOOKUP(C14,Active!C$21:E$973,3,FALSE)</f>
        <v>9650.6438975299006</v>
      </c>
      <c r="F14" s="3" t="s">
        <v>53</v>
      </c>
      <c r="G14" s="10" t="str">
        <f>MID(I14,3,LEN(I14)-3)</f>
        <v>56481.46923</v>
      </c>
      <c r="H14" s="8">
        <f>1*K14</f>
        <v>0</v>
      </c>
      <c r="I14" s="47" t="s">
        <v>72</v>
      </c>
      <c r="J14" s="48" t="s">
        <v>73</v>
      </c>
      <c r="K14" s="47">
        <v>0</v>
      </c>
      <c r="L14" s="47" t="s">
        <v>74</v>
      </c>
      <c r="M14" s="48" t="s">
        <v>68</v>
      </c>
      <c r="N14" s="48" t="s">
        <v>53</v>
      </c>
      <c r="O14" s="49" t="s">
        <v>70</v>
      </c>
      <c r="P14" s="50" t="s">
        <v>71</v>
      </c>
    </row>
    <row r="15" spans="1:16" x14ac:dyDescent="0.2">
      <c r="B15" s="3"/>
      <c r="F15" s="3"/>
    </row>
    <row r="16" spans="1:16" x14ac:dyDescent="0.2">
      <c r="B16" s="3"/>
      <c r="F16" s="3"/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</sheetData>
  <phoneticPr fontId="7" type="noConversion"/>
  <hyperlinks>
    <hyperlink ref="P11" r:id="rId1" display="http://www.bav-astro.de/sfs/BAVM_link.php?BAVMnr=173"/>
    <hyperlink ref="P12" r:id="rId2" display="http://www.bav-astro.de/sfs/BAVM_link.php?BAVMnr=173"/>
    <hyperlink ref="P13" r:id="rId3" display="http://var.astro.cz/oejv/issues/oejv0160.pdf"/>
    <hyperlink ref="P14" r:id="rId4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2024-02-06T02:58:17Z</dcterms:modified>
</cp:coreProperties>
</file>