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B88DCD0-DC83-4353-BE4D-8CFE3F5AC38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5" i="1" l="1"/>
  <c r="E25" i="1"/>
  <c r="F25" i="1"/>
  <c r="G25" i="1"/>
  <c r="K25" i="1"/>
  <c r="E22" i="1"/>
  <c r="F22" i="1"/>
  <c r="G22" i="1"/>
  <c r="K22" i="1"/>
  <c r="E23" i="1"/>
  <c r="F23" i="1"/>
  <c r="G23" i="1"/>
  <c r="K23" i="1"/>
  <c r="D9" i="1"/>
  <c r="C9" i="1"/>
  <c r="E21" i="1"/>
  <c r="F21" i="1"/>
  <c r="G21" i="1"/>
  <c r="J21" i="1"/>
  <c r="E24" i="1"/>
  <c r="F24" i="1"/>
  <c r="G24" i="1"/>
  <c r="J24" i="1"/>
  <c r="Q22" i="1"/>
  <c r="Q23" i="1"/>
  <c r="G12" i="2"/>
  <c r="C12" i="2"/>
  <c r="E12" i="2"/>
  <c r="G14" i="2"/>
  <c r="C14" i="2"/>
  <c r="E14" i="2"/>
  <c r="G13" i="2"/>
  <c r="C13" i="2"/>
  <c r="E13" i="2"/>
  <c r="G11" i="2"/>
  <c r="C11" i="2"/>
  <c r="E11" i="2"/>
  <c r="H12" i="2"/>
  <c r="D12" i="2"/>
  <c r="B12" i="2"/>
  <c r="A12" i="2"/>
  <c r="H14" i="2"/>
  <c r="B14" i="2"/>
  <c r="D14" i="2"/>
  <c r="A14" i="2"/>
  <c r="H13" i="2"/>
  <c r="D13" i="2"/>
  <c r="B13" i="2"/>
  <c r="A13" i="2"/>
  <c r="H11" i="2"/>
  <c r="B11" i="2"/>
  <c r="D11" i="2"/>
  <c r="A11" i="2"/>
  <c r="F16" i="1"/>
  <c r="F17" i="1" s="1"/>
  <c r="Q24" i="1"/>
  <c r="Q21" i="1"/>
  <c r="C17" i="1"/>
  <c r="C12" i="1"/>
  <c r="C11" i="1"/>
  <c r="O25" i="1" l="1"/>
  <c r="C15" i="1"/>
  <c r="F18" i="1" s="1"/>
  <c r="O22" i="1"/>
  <c r="O23" i="1"/>
  <c r="O21" i="1"/>
  <c r="O24" i="1"/>
  <c r="C16" i="1"/>
  <c r="D18" i="1" s="1"/>
  <c r="C18" i="1" l="1"/>
  <c r="F19" i="1"/>
</calcChain>
</file>

<file path=xl/sharedStrings.xml><?xml version="1.0" encoding="utf-8"?>
<sst xmlns="http://schemas.openxmlformats.org/spreadsheetml/2006/main" count="106" uniqueCount="78">
  <si>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</si>
  <si>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</si>
  <si>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</si>
  <si>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</si>
  <si>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</si>
  <si>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</si>
  <si>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</si>
  <si>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</si>
  <si>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</si>
  <si>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</si>
  <si>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</si>
  <si>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</si>
  <si>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</si>
  <si>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</si>
  <si>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</si>
  <si>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</si>
  <si>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</si>
  <si>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</si>
  <si>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</si>
  <si>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</si>
  <si>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</si>
  <si>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</si>
  <si>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</si>
  <si>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</si>
  <si>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</si>
  <si>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</si>
  <si>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</si>
  <si>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</si>
  <si>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</si>
  <si>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</si>
  <si>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</si>
  <si>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</si>
  <si>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</si>
  <si>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</si>
  <si>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</si>
  <si>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V2263 Cyg / GSC 3967-0690</t>
  </si>
  <si>
    <t>EB/SD</t>
  </si>
  <si>
    <t>Cyg_V2263.xls</t>
  </si>
  <si>
    <t>IBVS 5657</t>
  </si>
  <si>
    <t>IBVS 6118</t>
  </si>
  <si>
    <t>VSX</t>
  </si>
  <si>
    <t>Add cycle</t>
  </si>
  <si>
    <t>Old Cycle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</si>
  <si>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</si>
  <si>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</si>
  <si>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</si>
  <si>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</si>
  <si>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</si>
  <si>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</si>
  <si>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</si>
  <si>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</si>
  <si>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</si>
  <si>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</si>
  <si>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</si>
  <si>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</si>
  <si>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2453254.4495 </t>
  </si>
  <si>
    <t> 05.09.2004 22:47 </t>
  </si>
  <si>
    <t> 0.0039 </t>
  </si>
  <si>
    <t>E </t>
  </si>
  <si>
    <t>-I</t>
  </si>
  <si>
    <t> F.Agerer </t>
  </si>
  <si>
    <t>BAVM 173 </t>
  </si>
  <si>
    <t>2455795.4239 </t>
  </si>
  <si>
    <t> 21.08.2011 22:10 </t>
  </si>
  <si>
    <t>1798</t>
  </si>
  <si>
    <t> -0.0023 </t>
  </si>
  <si>
    <t>C </t>
  </si>
  <si>
    <t>BAVM 225 </t>
  </si>
  <si>
    <t>2455806.4223 </t>
  </si>
  <si>
    <t> 01.09.2011 22:08 </t>
  </si>
  <si>
    <t>1804</t>
  </si>
  <si>
    <t> 0.0001 </t>
  </si>
  <si>
    <t>2456495.5007 </t>
  </si>
  <si>
    <t> 22.07.2013 00:01 </t>
  </si>
  <si>
    <t>2180</t>
  </si>
  <si>
    <t> -0.0010 </t>
  </si>
  <si>
    <t>BAVM 234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</si>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</sst>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4" fillId="0" borderId="5" xfId="0" applyFont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V2263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1386.5</c:v>
                </c:pt>
                <c:pt idx="2">
                  <c:v>1392.5</c:v>
                </c:pt>
                <c:pt idx="3">
                  <c:v>1768.5</c:v>
                </c:pt>
                <c:pt idx="4">
                  <c:v>2205.5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C4-4379-AEE1-90F202180A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1386.5</c:v>
                </c:pt>
                <c:pt idx="2">
                  <c:v>1392.5</c:v>
                </c:pt>
                <c:pt idx="3">
                  <c:v>1768.5</c:v>
                </c:pt>
                <c:pt idx="4">
                  <c:v>2205.5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C4-4379-AEE1-90F202180A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1386.5</c:v>
                </c:pt>
                <c:pt idx="2">
                  <c:v>1392.5</c:v>
                </c:pt>
                <c:pt idx="3">
                  <c:v>1768.5</c:v>
                </c:pt>
                <c:pt idx="4">
                  <c:v>2205.5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0</c:v>
                </c:pt>
                <c:pt idx="3">
                  <c:v>-0.25064820000261534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C4-4379-AEE1-90F202180A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1386.5</c:v>
                </c:pt>
                <c:pt idx="2">
                  <c:v>1392.5</c:v>
                </c:pt>
                <c:pt idx="3">
                  <c:v>1768.5</c:v>
                </c:pt>
                <c:pt idx="4">
                  <c:v>2205.5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-0.19891780000034487</c:v>
                </c:pt>
                <c:pt idx="2">
                  <c:v>-0.19730100000015227</c:v>
                </c:pt>
                <c:pt idx="4">
                  <c:v>-0.31182460000127321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C4-4379-AEE1-90F202180A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1386.5</c:v>
                </c:pt>
                <c:pt idx="2">
                  <c:v>1392.5</c:v>
                </c:pt>
                <c:pt idx="3">
                  <c:v>1768.5</c:v>
                </c:pt>
                <c:pt idx="4">
                  <c:v>2205.5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C4-4379-AEE1-90F202180A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1386.5</c:v>
                </c:pt>
                <c:pt idx="2">
                  <c:v>1392.5</c:v>
                </c:pt>
                <c:pt idx="3">
                  <c:v>1768.5</c:v>
                </c:pt>
                <c:pt idx="4">
                  <c:v>2205.5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C4-4379-AEE1-90F202180A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2.8E-3</c:v>
                  </c:pt>
                  <c:pt idx="1">
                    <c:v>0</c:v>
                  </c:pt>
                  <c:pt idx="2">
                    <c:v>0</c:v>
                  </c:pt>
                  <c:pt idx="3">
                    <c:v>2.8999999999999998E-3</c:v>
                  </c:pt>
                  <c:pt idx="4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1386.5</c:v>
                </c:pt>
                <c:pt idx="2">
                  <c:v>1392.5</c:v>
                </c:pt>
                <c:pt idx="3">
                  <c:v>1768.5</c:v>
                </c:pt>
                <c:pt idx="4">
                  <c:v>2205.5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C4-4379-AEE1-90F202180A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1386.5</c:v>
                </c:pt>
                <c:pt idx="2">
                  <c:v>1392.5</c:v>
                </c:pt>
                <c:pt idx="3">
                  <c:v>1768.5</c:v>
                </c:pt>
                <c:pt idx="4">
                  <c:v>2205.5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-5.9801538348633332E-4</c:v>
                </c:pt>
                <c:pt idx="1">
                  <c:v>-0.19681897817928995</c:v>
                </c:pt>
                <c:pt idx="2">
                  <c:v>-0.19766811325089098</c:v>
                </c:pt>
                <c:pt idx="3">
                  <c:v>-0.25088057773788852</c:v>
                </c:pt>
                <c:pt idx="4">
                  <c:v>-0.31272591545282991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C4-4379-AEE1-90F202180A0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1386.5</c:v>
                </c:pt>
                <c:pt idx="2">
                  <c:v>1392.5</c:v>
                </c:pt>
                <c:pt idx="3">
                  <c:v>1768.5</c:v>
                </c:pt>
                <c:pt idx="4">
                  <c:v>2205.5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C4-4379-AEE1-90F202180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279440"/>
        <c:axId val="1"/>
      </c:scatterChart>
      <c:valAx>
        <c:axId val="69927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27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04BD47-D9A4-6B69-895E-0457E9248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173" TargetMode="External"/><Relationship Id="rId4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F37" sqref="F37:G3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35</v>
      </c>
      <c r="F1">
        <v>53254.449500000002</v>
      </c>
      <c r="G1">
        <v>1.8327971999999999</v>
      </c>
      <c r="H1" t="s">
        <v>36</v>
      </c>
      <c r="I1" t="s">
        <v>37</v>
      </c>
    </row>
    <row r="2" spans="1:9" x14ac:dyDescent="0.2">
      <c r="A2" t="s">
        <v>24</v>
      </c>
      <c r="B2" t="s">
        <v>36</v>
      </c>
      <c r="C2" s="3"/>
      <c r="D2" s="3"/>
      <c r="E2" t="s">
        <v>37</v>
      </c>
    </row>
    <row r="3" spans="1:9" ht="13.5" thickBot="1" x14ac:dyDescent="0.25"/>
    <row r="4" spans="1:9" ht="14.25" thickTop="1" thickBot="1" x14ac:dyDescent="0.25">
      <c r="A4" s="5" t="s">
        <v>1</v>
      </c>
      <c r="C4" s="8">
        <v>53254.449500000002</v>
      </c>
      <c r="D4" s="9">
        <v>1.8327971999999999</v>
      </c>
    </row>
    <row r="5" spans="1:9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9" x14ac:dyDescent="0.2">
      <c r="A6" s="5" t="s">
        <v>2</v>
      </c>
    </row>
    <row r="7" spans="1:9" x14ac:dyDescent="0.2">
      <c r="A7" t="s">
        <v>3</v>
      </c>
      <c r="C7" s="38">
        <v>53254.449500000002</v>
      </c>
      <c r="D7" s="37" t="s">
        <v>40</v>
      </c>
    </row>
    <row r="8" spans="1:9" x14ac:dyDescent="0.2">
      <c r="A8" t="s">
        <v>4</v>
      </c>
      <c r="C8">
        <v>1.8327971999999999</v>
      </c>
      <c r="D8" s="37" t="s">
        <v>40</v>
      </c>
    </row>
    <row r="9" spans="1:9" x14ac:dyDescent="0.2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3">
        <f ca="1">INTERCEPT(INDIRECT($D$9):G991,INDIRECT($C$9):F991)</f>
        <v>-5.9801538348633332E-4</v>
      </c>
      <c r="D11" s="3"/>
      <c r="E11" s="12"/>
    </row>
    <row r="12" spans="1:9" x14ac:dyDescent="0.2">
      <c r="A12" s="12" t="s">
        <v>17</v>
      </c>
      <c r="B12" s="12"/>
      <c r="C12" s="23">
        <f ca="1">SLOPE(INDIRECT($D$9):G991,INDIRECT($C$9):F991)</f>
        <v>-1.4152251193350423E-4</v>
      </c>
      <c r="D12" s="3"/>
      <c r="E12" s="12"/>
    </row>
    <row r="13" spans="1:9" x14ac:dyDescent="0.2">
      <c r="A13" s="12" t="s">
        <v>19</v>
      </c>
      <c r="B13" s="12"/>
      <c r="C13" s="3" t="s">
        <v>14</v>
      </c>
    </row>
    <row r="14" spans="1:9" x14ac:dyDescent="0.2">
      <c r="A14" s="12"/>
      <c r="B14" s="12"/>
      <c r="C14" s="12"/>
    </row>
    <row r="15" spans="1:9" x14ac:dyDescent="0.2">
      <c r="A15" s="14" t="s">
        <v>18</v>
      </c>
      <c r="B15" s="12"/>
      <c r="C15" s="15">
        <f ca="1">(C7+C11)+(C8+C12)*INT(MAX(F21:F3532))</f>
        <v>57295.454670845807</v>
      </c>
      <c r="E15" s="16" t="s">
        <v>41</v>
      </c>
      <c r="F15" s="13">
        <v>1</v>
      </c>
    </row>
    <row r="16" spans="1:9" x14ac:dyDescent="0.2">
      <c r="A16" s="18" t="s">
        <v>5</v>
      </c>
      <c r="B16" s="12"/>
      <c r="C16" s="19">
        <f ca="1">+C8+C12</f>
        <v>1.8326556774880665</v>
      </c>
      <c r="E16" s="16" t="s">
        <v>31</v>
      </c>
      <c r="F16" s="17">
        <f ca="1">NOW()+15018.5+$C$5/24</f>
        <v>60346.678911226853</v>
      </c>
    </row>
    <row r="17" spans="1:21" ht="13.5" thickBot="1" x14ac:dyDescent="0.25">
      <c r="A17" s="16" t="s">
        <v>28</v>
      </c>
      <c r="B17" s="12"/>
      <c r="C17" s="12">
        <f>COUNT(C21:C2190)</f>
        <v>5</v>
      </c>
      <c r="E17" s="16" t="s">
        <v>42</v>
      </c>
      <c r="F17" s="17">
        <f ca="1">ROUND(2*(F16-$C$7)/$C$8,0)/2+F15</f>
        <v>3870.5</v>
      </c>
    </row>
    <row r="18" spans="1:21" ht="14.25" thickTop="1" thickBot="1" x14ac:dyDescent="0.25">
      <c r="A18" s="18" t="s">
        <v>6</v>
      </c>
      <c r="B18" s="12"/>
      <c r="C18" s="21">
        <f ca="1">+C15</f>
        <v>57295.454670845807</v>
      </c>
      <c r="D18" s="22">
        <f ca="1">+C16</f>
        <v>1.8326556774880665</v>
      </c>
      <c r="E18" s="16" t="s">
        <v>32</v>
      </c>
      <c r="F18" s="25">
        <f ca="1">ROUND(2*(F16-$C$15)/$C$16,0)/2+F15</f>
        <v>1666</v>
      </c>
    </row>
    <row r="19" spans="1:21" ht="13.5" thickTop="1" x14ac:dyDescent="0.2">
      <c r="E19" s="16" t="s">
        <v>33</v>
      </c>
      <c r="F19" s="20">
        <f ca="1">+$C$15+$C$16*F18-15018.5-$C$5/24</f>
        <v>45330.554862874262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5" t="s">
        <v>77</v>
      </c>
    </row>
    <row r="21" spans="1:21" s="29" customFormat="1" x14ac:dyDescent="0.2">
      <c r="A21" s="31" t="s">
        <v>38</v>
      </c>
      <c r="B21" s="28"/>
      <c r="C21" s="32">
        <v>53254.449500000002</v>
      </c>
      <c r="D21" s="32">
        <v>2.8E-3</v>
      </c>
      <c r="E21" s="29">
        <f>+(C21-C$7)/C$8</f>
        <v>0</v>
      </c>
      <c r="F21" s="29">
        <f>ROUND(2*E21,0)/2</f>
        <v>0</v>
      </c>
      <c r="G21" s="29">
        <f>+C21-(C$7+F21*C$8)</f>
        <v>0</v>
      </c>
      <c r="J21" s="29">
        <f>+G21</f>
        <v>0</v>
      </c>
      <c r="O21" s="29">
        <f ca="1">+C$11+C$12*$F21</f>
        <v>-5.9801538348633332E-4</v>
      </c>
      <c r="Q21" s="30">
        <f>+C21-15018.5</f>
        <v>38235.949500000002</v>
      </c>
    </row>
    <row r="22" spans="1:21" x14ac:dyDescent="0.2">
      <c r="A22" s="52" t="s">
        <v>67</v>
      </c>
      <c r="B22" s="54" t="s">
        <v>43</v>
      </c>
      <c r="C22" s="53">
        <v>55795.423900000002</v>
      </c>
      <c r="D22" s="53" t="s">
        <v>54</v>
      </c>
      <c r="E22" s="29">
        <f>+(C22-C$7)/C$8</f>
        <v>1386.3914676430099</v>
      </c>
      <c r="F22" s="29">
        <f>ROUND(2*E22,0)/2</f>
        <v>1386.5</v>
      </c>
      <c r="G22" s="29">
        <f>+C22-(C$7+F22*C$8)</f>
        <v>-0.19891780000034487</v>
      </c>
      <c r="I22" s="29"/>
      <c r="K22" s="29">
        <f>+G22</f>
        <v>-0.19891780000034487</v>
      </c>
      <c r="L22" s="29"/>
      <c r="M22" s="29"/>
      <c r="N22" s="29"/>
      <c r="O22" s="29">
        <f ca="1">+C$11+C$12*$F22</f>
        <v>-0.19681897817928995</v>
      </c>
      <c r="P22" s="29"/>
      <c r="Q22" s="30">
        <f>+C22-15018.5</f>
        <v>40776.923900000002</v>
      </c>
    </row>
    <row r="23" spans="1:21" x14ac:dyDescent="0.2">
      <c r="A23" s="52" t="s">
        <v>67</v>
      </c>
      <c r="B23" s="54" t="s">
        <v>43</v>
      </c>
      <c r="C23" s="53">
        <v>55806.422299999998</v>
      </c>
      <c r="D23" s="53" t="s">
        <v>54</v>
      </c>
      <c r="E23" s="29">
        <f>+(C23-C$7)/C$8</f>
        <v>1392.3923497918897</v>
      </c>
      <c r="F23" s="29">
        <f>ROUND(2*E23,0)/2</f>
        <v>1392.5</v>
      </c>
      <c r="G23" s="29">
        <f>+C23-(C$7+F23*C$8)</f>
        <v>-0.19730100000015227</v>
      </c>
      <c r="I23" s="29"/>
      <c r="K23" s="29">
        <f>+G23</f>
        <v>-0.19730100000015227</v>
      </c>
      <c r="L23" s="29"/>
      <c r="M23" s="29"/>
      <c r="N23" s="29"/>
      <c r="O23" s="29">
        <f ca="1">+C$11+C$12*$F23</f>
        <v>-0.19766811325089098</v>
      </c>
      <c r="P23" s="29"/>
      <c r="Q23" s="30">
        <f>+C23-15018.5</f>
        <v>40787.922299999998</v>
      </c>
    </row>
    <row r="24" spans="1:21" x14ac:dyDescent="0.2">
      <c r="A24" s="33" t="s">
        <v>39</v>
      </c>
      <c r="B24" s="34" t="s">
        <v>43</v>
      </c>
      <c r="C24" s="35">
        <v>56495.500699999997</v>
      </c>
      <c r="D24" s="36">
        <v>2.8999999999999998E-3</v>
      </c>
      <c r="E24" s="29">
        <f>+(C24-C$7)/C$8</f>
        <v>1768.3632428072208</v>
      </c>
      <c r="F24" s="29">
        <f>ROUND(2*E24,0)/2</f>
        <v>1768.5</v>
      </c>
      <c r="G24" s="29">
        <f>+C24-(C$7+F24*C$8)</f>
        <v>-0.25064820000261534</v>
      </c>
      <c r="I24" s="29"/>
      <c r="J24" s="29">
        <f>+G24</f>
        <v>-0.25064820000261534</v>
      </c>
      <c r="K24" s="29"/>
      <c r="L24" s="29"/>
      <c r="M24" s="29"/>
      <c r="N24" s="29"/>
      <c r="O24" s="29">
        <f ca="1">+C$11+C$12*$F24</f>
        <v>-0.25088057773788852</v>
      </c>
      <c r="P24" s="29"/>
      <c r="Q24" s="30">
        <f>+C24-15018.5</f>
        <v>41477.000699999997</v>
      </c>
      <c r="R24" s="29"/>
    </row>
    <row r="25" spans="1:21" x14ac:dyDescent="0.2">
      <c r="A25" s="56" t="s">
        <v>0</v>
      </c>
      <c r="B25" s="57" t="s">
        <v>43</v>
      </c>
      <c r="C25" s="58">
        <v>57296.371899999998</v>
      </c>
      <c r="D25" s="59">
        <v>3.0999999999999999E-3</v>
      </c>
      <c r="E25" s="29">
        <f>+(C25-C$7)/C$8</f>
        <v>2205.3298641006195</v>
      </c>
      <c r="F25" s="29">
        <f>ROUND(2*E25,0)/2</f>
        <v>2205.5</v>
      </c>
      <c r="G25" s="29">
        <f>+C25-(C$7+F25*C$8)</f>
        <v>-0.31182460000127321</v>
      </c>
      <c r="I25" s="29"/>
      <c r="K25" s="29">
        <f>+G25</f>
        <v>-0.31182460000127321</v>
      </c>
      <c r="L25" s="29"/>
      <c r="M25" s="29"/>
      <c r="N25" s="29"/>
      <c r="O25" s="29">
        <f ca="1">+C$11+C$12*$F25</f>
        <v>-0.31272591545282991</v>
      </c>
      <c r="P25" s="29"/>
      <c r="Q25" s="30">
        <f>+C25-15018.5</f>
        <v>42277.871899999998</v>
      </c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hyperlinks>
    <hyperlink ref="H855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0"/>
  <sheetViews>
    <sheetView workbookViewId="0">
      <selection activeCell="A13" sqref="A13:D14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9" t="s">
        <v>44</v>
      </c>
      <c r="I1" s="40" t="s">
        <v>45</v>
      </c>
      <c r="J1" s="41" t="s">
        <v>46</v>
      </c>
    </row>
    <row r="2" spans="1:16" x14ac:dyDescent="0.2">
      <c r="I2" s="42" t="s">
        <v>47</v>
      </c>
      <c r="J2" s="43" t="s">
        <v>48</v>
      </c>
    </row>
    <row r="3" spans="1:16" x14ac:dyDescent="0.2">
      <c r="A3" s="44" t="s">
        <v>49</v>
      </c>
      <c r="I3" s="42" t="s">
        <v>50</v>
      </c>
      <c r="J3" s="43" t="s">
        <v>51</v>
      </c>
    </row>
    <row r="4" spans="1:16" x14ac:dyDescent="0.2">
      <c r="I4" s="42" t="s">
        <v>52</v>
      </c>
      <c r="J4" s="43" t="s">
        <v>51</v>
      </c>
    </row>
    <row r="5" spans="1:16" ht="13.5" thickBot="1" x14ac:dyDescent="0.25">
      <c r="I5" s="45" t="s">
        <v>53</v>
      </c>
      <c r="J5" s="46" t="s">
        <v>54</v>
      </c>
    </row>
    <row r="10" spans="1:16" ht="13.5" thickBot="1" x14ac:dyDescent="0.25"/>
    <row r="11" spans="1:16" ht="12.75" customHeight="1" thickBot="1" x14ac:dyDescent="0.25">
      <c r="A11" s="10" t="str">
        <f>P11</f>
        <v>BAVM 173 </v>
      </c>
      <c r="B11" s="3" t="str">
        <f>IF(H11=INT(H11),"I","II")</f>
        <v>II</v>
      </c>
      <c r="C11" s="10">
        <f>1*G11</f>
        <v>53254.449500000002</v>
      </c>
      <c r="D11" s="12" t="str">
        <f>VLOOKUP(F11,I$1:J$5,2,FALSE)</f>
        <v>vis</v>
      </c>
      <c r="E11" s="47">
        <f>VLOOKUP(C11,Active!C$21:E$973,3,FALSE)</f>
        <v>0</v>
      </c>
      <c r="F11" s="3" t="s">
        <v>53</v>
      </c>
      <c r="G11" s="12" t="str">
        <f>MID(I11,3,LEN(I11)-3)</f>
        <v>53254.4495</v>
      </c>
      <c r="H11" s="10">
        <f>1*K11</f>
        <v>411.5</v>
      </c>
      <c r="I11" s="48" t="s">
        <v>55</v>
      </c>
      <c r="J11" s="49" t="s">
        <v>56</v>
      </c>
      <c r="K11" s="48">
        <v>411.5</v>
      </c>
      <c r="L11" s="48" t="s">
        <v>57</v>
      </c>
      <c r="M11" s="49" t="s">
        <v>58</v>
      </c>
      <c r="N11" s="49" t="s">
        <v>59</v>
      </c>
      <c r="O11" s="50" t="s">
        <v>60</v>
      </c>
      <c r="P11" s="51" t="s">
        <v>61</v>
      </c>
    </row>
    <row r="12" spans="1:16" ht="12.75" customHeight="1" thickBot="1" x14ac:dyDescent="0.25">
      <c r="A12" s="10" t="str">
        <f>P12</f>
        <v>BAVM 234 </v>
      </c>
      <c r="B12" s="3" t="str">
        <f>IF(H12=INT(H12),"I","II")</f>
        <v>I</v>
      </c>
      <c r="C12" s="10">
        <f>1*G12</f>
        <v>56495.500699999997</v>
      </c>
      <c r="D12" s="12" t="str">
        <f>VLOOKUP(F12,I$1:J$5,2,FALSE)</f>
        <v>vis</v>
      </c>
      <c r="E12" s="47">
        <f>VLOOKUP(C12,Active!C$21:E$973,3,FALSE)</f>
        <v>1768.3632428072208</v>
      </c>
      <c r="F12" s="3" t="s">
        <v>53</v>
      </c>
      <c r="G12" s="12" t="str">
        <f>MID(I12,3,LEN(I12)-3)</f>
        <v>56495.5007</v>
      </c>
      <c r="H12" s="10">
        <f>1*K12</f>
        <v>2180</v>
      </c>
      <c r="I12" s="48" t="s">
        <v>72</v>
      </c>
      <c r="J12" s="49" t="s">
        <v>73</v>
      </c>
      <c r="K12" s="48" t="s">
        <v>74</v>
      </c>
      <c r="L12" s="48" t="s">
        <v>75</v>
      </c>
      <c r="M12" s="49" t="s">
        <v>66</v>
      </c>
      <c r="N12" s="49" t="s">
        <v>59</v>
      </c>
      <c r="O12" s="50" t="s">
        <v>60</v>
      </c>
      <c r="P12" s="51" t="s">
        <v>76</v>
      </c>
    </row>
    <row r="13" spans="1:16" ht="12.75" customHeight="1" thickBot="1" x14ac:dyDescent="0.25">
      <c r="A13" s="10" t="str">
        <f>P13</f>
        <v>BAVM 225 </v>
      </c>
      <c r="B13" s="3" t="str">
        <f>IF(H13=INT(H13),"I","II")</f>
        <v>I</v>
      </c>
      <c r="C13" s="10">
        <f>1*G13</f>
        <v>55795.423900000002</v>
      </c>
      <c r="D13" s="12" t="str">
        <f>VLOOKUP(F13,I$1:J$5,2,FALSE)</f>
        <v>vis</v>
      </c>
      <c r="E13" s="47">
        <f>VLOOKUP(C13,Active!C$21:E$973,3,FALSE)</f>
        <v>1386.3914676430099</v>
      </c>
      <c r="F13" s="3" t="s">
        <v>53</v>
      </c>
      <c r="G13" s="12" t="str">
        <f>MID(I13,3,LEN(I13)-3)</f>
        <v>55795.4239</v>
      </c>
      <c r="H13" s="10">
        <f>1*K13</f>
        <v>1798</v>
      </c>
      <c r="I13" s="48" t="s">
        <v>62</v>
      </c>
      <c r="J13" s="49" t="s">
        <v>63</v>
      </c>
      <c r="K13" s="48" t="s">
        <v>64</v>
      </c>
      <c r="L13" s="48" t="s">
        <v>65</v>
      </c>
      <c r="M13" s="49" t="s">
        <v>66</v>
      </c>
      <c r="N13" s="49" t="s">
        <v>59</v>
      </c>
      <c r="O13" s="50" t="s">
        <v>60</v>
      </c>
      <c r="P13" s="51" t="s">
        <v>67</v>
      </c>
    </row>
    <row r="14" spans="1:16" ht="12.75" customHeight="1" thickBot="1" x14ac:dyDescent="0.25">
      <c r="A14" s="10" t="str">
        <f>P14</f>
        <v>BAVM 225 </v>
      </c>
      <c r="B14" s="3" t="str">
        <f>IF(H14=INT(H14),"I","II")</f>
        <v>I</v>
      </c>
      <c r="C14" s="10">
        <f>1*G14</f>
        <v>55806.422299999998</v>
      </c>
      <c r="D14" s="12" t="str">
        <f>VLOOKUP(F14,I$1:J$5,2,FALSE)</f>
        <v>vis</v>
      </c>
      <c r="E14" s="47">
        <f>VLOOKUP(C14,Active!C$21:E$973,3,FALSE)</f>
        <v>1392.3923497918897</v>
      </c>
      <c r="F14" s="3" t="s">
        <v>53</v>
      </c>
      <c r="G14" s="12" t="str">
        <f>MID(I14,3,LEN(I14)-3)</f>
        <v>55806.4223</v>
      </c>
      <c r="H14" s="10">
        <f>1*K14</f>
        <v>1804</v>
      </c>
      <c r="I14" s="48" t="s">
        <v>68</v>
      </c>
      <c r="J14" s="49" t="s">
        <v>69</v>
      </c>
      <c r="K14" s="48" t="s">
        <v>70</v>
      </c>
      <c r="L14" s="48" t="s">
        <v>71</v>
      </c>
      <c r="M14" s="49" t="s">
        <v>66</v>
      </c>
      <c r="N14" s="49" t="s">
        <v>59</v>
      </c>
      <c r="O14" s="50" t="s">
        <v>60</v>
      </c>
      <c r="P14" s="51" t="s">
        <v>67</v>
      </c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</sheetData>
  <phoneticPr fontId="8" type="noConversion"/>
  <hyperlinks>
    <hyperlink ref="P11" r:id="rId1" display="http://www.bav-astro.de/sfs/BAVM_link.php?BAVMnr=173"/>
    <hyperlink ref="P13" r:id="rId2" display="http://www.bav-astro.de/sfs/BAVM_link.php?BAVMnr=225"/>
    <hyperlink ref="P14" r:id="rId3" display="http://www.bav-astro.de/sfs/BAVM_link.php?BAVMnr=225"/>
    <hyperlink ref="P12" r:id="rId4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2024-02-06T03:17:37Z</dcterms:modified>
</cp:coreProperties>
</file>