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E1688BC9-51B6-432D-B357-7EC6DB8A096D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F21" i="1" l="1"/>
  <c r="G21" i="1"/>
  <c r="I21" i="1"/>
  <c r="F22" i="1"/>
  <c r="G22" i="1"/>
  <c r="I22" i="1"/>
  <c r="E23" i="1"/>
  <c r="F23" i="1"/>
  <c r="G23" i="1"/>
  <c r="K23" i="1"/>
  <c r="E24" i="1"/>
  <c r="F24" i="1"/>
  <c r="G24" i="1"/>
  <c r="K24" i="1"/>
  <c r="D9" i="1"/>
  <c r="C9" i="1"/>
  <c r="E21" i="1"/>
  <c r="E22" i="1"/>
  <c r="Q23" i="1"/>
  <c r="Q24" i="1"/>
  <c r="Q21" i="1"/>
  <c r="Q22" i="1"/>
  <c r="F16" i="1"/>
  <c r="C17" i="1"/>
  <c r="C11" i="1"/>
  <c r="C12" i="1"/>
  <c r="C16" i="1" l="1"/>
  <c r="D18" i="1" s="1"/>
  <c r="O21" i="1"/>
  <c r="O22" i="1"/>
  <c r="O24" i="1"/>
  <c r="O23" i="1"/>
  <c r="C15" i="1"/>
  <c r="F18" i="1" s="1"/>
  <c r="F17" i="1"/>
  <c r="C18" i="1" l="1"/>
  <c r="F19" i="1"/>
</calcChain>
</file>

<file path=xl/sharedStrings.xml><?xml version="1.0" encoding="utf-8"?>
<sst xmlns="http://schemas.openxmlformats.org/spreadsheetml/2006/main" count="55" uniqueCount="49">
  <si>
    <t>PE</t>
  </si>
  <si>
    <t>CCD</t>
  </si>
  <si>
    <t>pg</t>
  </si>
  <si>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</si>
  <si>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</si>
  <si>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</si>
  <si>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</si>
  <si>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</si>
  <si>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</si>
  <si>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</si>
  <si>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</si>
  <si>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</si>
  <si>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</si>
  <si>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</si>
  <si>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</si>
  <si>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</si>
  <si>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</si>
  <si>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</si>
  <si>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</si>
  <si>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</si>
  <si>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</si>
  <si>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</si>
  <si>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</si>
  <si>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</si>
  <si>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</si>
  <si>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</si>
  <si>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</si>
  <si>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</si>
  <si>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</si>
  <si>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</si>
  <si>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</si>
  <si>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</si>
  <si>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</si>
  <si>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</si>
  <si>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</si>
  <si>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</si>
  <si>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</si>
  <si>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</si>
  <si>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</si>
  <si>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</si>
  <si>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</si>
  <si>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VSX</t>
  </si>
  <si>
    <t>V2276 Cyg / GSC 3554-0949</t>
  </si>
  <si>
    <t>EA</t>
  </si>
  <si>
    <t>IBVS 5060</t>
  </si>
  <si>
    <t>II</t>
  </si>
  <si>
    <t>I</t>
  </si>
  <si>
    <t>vis</t>
  </si>
  <si>
    <t>OEJV 0179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</si>
</sst>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33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2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sz val="10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2"/>
        <bgColor indexed="8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47">
    <xf numFmtId="0" fontId="0" fillId="0" borderId="0">
      <alignment vertical="top"/>
    </xf>
    <xf numFmtId="0" fontId="15" fillId="2" borderId="0" applyNumberFormat="0" applyBorder="0" applyAlignment="0" applyProtection="0"/>
    <xf numFmtId="0" fontId="15" fillId="3" borderId="0" applyNumberFormat="0" applyBorder="0" applyAlignment="0" applyProtection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5" borderId="0" applyNumberFormat="0" applyBorder="0" applyAlignment="0" applyProtection="0"/>
    <xf numFmtId="0" fontId="15" fillId="8" borderId="0" applyNumberFormat="0" applyBorder="0" applyAlignment="0" applyProtection="0"/>
    <xf numFmtId="0" fontId="15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9" borderId="0" applyNumberFormat="0" applyBorder="0" applyAlignment="0" applyProtection="0"/>
    <xf numFmtId="0" fontId="17" fillId="3" borderId="0" applyNumberFormat="0" applyBorder="0" applyAlignment="0" applyProtection="0"/>
    <xf numFmtId="0" fontId="18" fillId="20" borderId="1" applyNumberFormat="0" applyAlignment="0" applyProtection="0"/>
    <xf numFmtId="0" fontId="19" fillId="21" borderId="2" applyNumberFormat="0" applyAlignment="0" applyProtection="0"/>
    <xf numFmtId="3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21" fillId="0" borderId="0" applyNumberFormat="0" applyFill="0" applyBorder="0" applyAlignment="0" applyProtection="0"/>
    <xf numFmtId="2" fontId="32" fillId="0" borderId="0" applyFont="0" applyFill="0" applyBorder="0" applyAlignment="0" applyProtection="0"/>
    <xf numFmtId="0" fontId="22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3" fillId="0" borderId="3" applyNumberFormat="0" applyFill="0" applyAlignment="0" applyProtection="0"/>
    <xf numFmtId="0" fontId="23" fillId="0" borderId="0" applyNumberFormat="0" applyFill="0" applyBorder="0" applyAlignment="0" applyProtection="0"/>
    <xf numFmtId="0" fontId="24" fillId="7" borderId="1" applyNumberFormat="0" applyAlignment="0" applyProtection="0"/>
    <xf numFmtId="0" fontId="25" fillId="0" borderId="4" applyNumberFormat="0" applyFill="0" applyAlignment="0" applyProtection="0"/>
    <xf numFmtId="0" fontId="26" fillId="22" borderId="0" applyNumberFormat="0" applyBorder="0" applyAlignment="0" applyProtection="0"/>
    <xf numFmtId="0" fontId="20" fillId="0" borderId="0"/>
    <xf numFmtId="0" fontId="20" fillId="23" borderId="5" applyNumberFormat="0" applyFont="0" applyAlignment="0" applyProtection="0"/>
    <xf numFmtId="0" fontId="27" fillId="20" borderId="6" applyNumberFormat="0" applyAlignment="0" applyProtection="0"/>
    <xf numFmtId="0" fontId="28" fillId="0" borderId="0" applyNumberFormat="0" applyFill="0" applyBorder="0" applyAlignment="0" applyProtection="0"/>
    <xf numFmtId="0" fontId="32" fillId="0" borderId="7" applyNumberFormat="0" applyFont="0" applyFill="0" applyAlignment="0" applyProtection="0"/>
    <xf numFmtId="0" fontId="29" fillId="0" borderId="0" applyNumberFormat="0" applyFill="0" applyBorder="0" applyAlignment="0" applyProtection="0"/>
  </cellStyleXfs>
  <cellXfs count="37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5" fillId="0" borderId="0" xfId="0" applyFont="1" applyAlignment="1"/>
    <xf numFmtId="0" fontId="5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 applyAlignment="1">
      <alignment vertical="top"/>
    </xf>
    <xf numFmtId="0" fontId="11" fillId="0" borderId="0" xfId="0" applyFont="1" applyAlignment="1">
      <alignment horizontal="left"/>
    </xf>
    <xf numFmtId="0" fontId="13" fillId="0" borderId="8" xfId="0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9" fillId="0" borderId="0" xfId="0" applyFont="1" applyAlignment="1">
      <alignment horizontal="left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30" fillId="0" borderId="0" xfId="41" applyFont="1"/>
    <xf numFmtId="0" fontId="30" fillId="0" borderId="0" xfId="41" applyFont="1" applyAlignment="1">
      <alignment horizontal="center"/>
    </xf>
    <xf numFmtId="0" fontId="30" fillId="0" borderId="0" xfId="41" applyFont="1" applyAlignment="1">
      <alignment horizontal="left"/>
    </xf>
    <xf numFmtId="0" fontId="31" fillId="24" borderId="0" xfId="0" applyFont="1" applyFill="1" applyAlignment="1"/>
    <xf numFmtId="0" fontId="0" fillId="0" borderId="0" xfId="0" applyAlignment="1">
      <alignment horizontal="right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_1" xfId="41"/>
    <cellStyle name="Note" xfId="42" builtinId="10" customBuiltin="1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V2276 Cyg - O-C Diagr.</a:t>
            </a:r>
          </a:p>
        </c:rich>
      </c:tx>
      <c:layout>
        <c:manualLayout>
          <c:xMode val="edge"/>
          <c:yMode val="edge"/>
          <c:x val="0.3669172932330827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481203007518797"/>
          <c:y val="0.14035127795846455"/>
          <c:w val="0.83308270676691731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Active!$D$21:$D$238</c:f>
                <c:numCache>
                  <c:formatCode>General</c:formatCode>
                  <c:ptCount val="218"/>
                  <c:pt idx="0">
                    <c:v>5.0000000000000001E-3</c:v>
                  </c:pt>
                  <c:pt idx="1">
                    <c:v>1.2999999999999999E-3</c:v>
                  </c:pt>
                  <c:pt idx="2">
                    <c:v>5.9999999999999995E-4</c:v>
                  </c:pt>
                  <c:pt idx="3">
                    <c:v>2.9999999999999997E-4</c:v>
                  </c:pt>
                </c:numCache>
              </c:numRef>
            </c:plus>
            <c:minus>
              <c:numRef>
                <c:f>Active!$D$21:$D$238</c:f>
                <c:numCache>
                  <c:formatCode>General</c:formatCode>
                  <c:ptCount val="218"/>
                  <c:pt idx="0">
                    <c:v>5.0000000000000001E-3</c:v>
                  </c:pt>
                  <c:pt idx="1">
                    <c:v>1.2999999999999999E-3</c:v>
                  </c:pt>
                  <c:pt idx="2">
                    <c:v>5.9999999999999995E-4</c:v>
                  </c:pt>
                  <c:pt idx="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2.5</c:v>
                </c:pt>
                <c:pt idx="1">
                  <c:v>20</c:v>
                </c:pt>
                <c:pt idx="2">
                  <c:v>6384</c:v>
                </c:pt>
                <c:pt idx="3">
                  <c:v>6442.5</c:v>
                </c:pt>
              </c:numCache>
            </c:numRef>
          </c:xVal>
          <c:yVal>
            <c:numRef>
              <c:f>Active!$H$21:$H$998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92B-46F2-9962-E21ED82CD273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5.0000000000000001E-3</c:v>
                  </c:pt>
                  <c:pt idx="1">
                    <c:v>1.2999999999999999E-3</c:v>
                  </c:pt>
                  <c:pt idx="2">
                    <c:v>5.9999999999999995E-4</c:v>
                  </c:pt>
                  <c:pt idx="3">
                    <c:v>2.9999999999999997E-4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5.0000000000000001E-3</c:v>
                  </c:pt>
                  <c:pt idx="1">
                    <c:v>1.2999999999999999E-3</c:v>
                  </c:pt>
                  <c:pt idx="2">
                    <c:v>5.9999999999999995E-4</c:v>
                  </c:pt>
                  <c:pt idx="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2.5</c:v>
                </c:pt>
                <c:pt idx="1">
                  <c:v>20</c:v>
                </c:pt>
                <c:pt idx="2">
                  <c:v>6384</c:v>
                </c:pt>
                <c:pt idx="3">
                  <c:v>6442.5</c:v>
                </c:pt>
              </c:numCache>
            </c:numRef>
          </c:xVal>
          <c:yVal>
            <c:numRef>
              <c:f>Active!$I$21:$I$998</c:f>
              <c:numCache>
                <c:formatCode>General</c:formatCode>
                <c:ptCount val="978"/>
                <c:pt idx="0">
                  <c:v>-2.4289999999964493</c:v>
                </c:pt>
                <c:pt idx="1">
                  <c:v>-2.4111999999950058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92B-46F2-9962-E21ED82CD273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5.0000000000000001E-3</c:v>
                  </c:pt>
                  <c:pt idx="1">
                    <c:v>1.2999999999999999E-3</c:v>
                  </c:pt>
                  <c:pt idx="2">
                    <c:v>5.9999999999999995E-4</c:v>
                  </c:pt>
                  <c:pt idx="3">
                    <c:v>2.9999999999999997E-4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5.0000000000000001E-3</c:v>
                  </c:pt>
                  <c:pt idx="1">
                    <c:v>1.2999999999999999E-3</c:v>
                  </c:pt>
                  <c:pt idx="2">
                    <c:v>5.9999999999999995E-4</c:v>
                  </c:pt>
                  <c:pt idx="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2.5</c:v>
                </c:pt>
                <c:pt idx="1">
                  <c:v>20</c:v>
                </c:pt>
                <c:pt idx="2">
                  <c:v>6384</c:v>
                </c:pt>
                <c:pt idx="3">
                  <c:v>6442.5</c:v>
                </c:pt>
              </c:numCache>
            </c:numRef>
          </c:xVal>
          <c:yVal>
            <c:numRef>
              <c:f>Active!$J$21:$J$998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92B-46F2-9962-E21ED82CD273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5.0000000000000001E-3</c:v>
                  </c:pt>
                  <c:pt idx="1">
                    <c:v>1.2999999999999999E-3</c:v>
                  </c:pt>
                  <c:pt idx="2">
                    <c:v>5.9999999999999995E-4</c:v>
                  </c:pt>
                  <c:pt idx="3">
                    <c:v>2.9999999999999997E-4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5.0000000000000001E-3</c:v>
                  </c:pt>
                  <c:pt idx="1">
                    <c:v>1.2999999999999999E-3</c:v>
                  </c:pt>
                  <c:pt idx="2">
                    <c:v>5.9999999999999995E-4</c:v>
                  </c:pt>
                  <c:pt idx="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2.5</c:v>
                </c:pt>
                <c:pt idx="1">
                  <c:v>20</c:v>
                </c:pt>
                <c:pt idx="2">
                  <c:v>6384</c:v>
                </c:pt>
                <c:pt idx="3">
                  <c:v>6442.5</c:v>
                </c:pt>
              </c:numCache>
            </c:numRef>
          </c:xVal>
          <c:yVal>
            <c:numRef>
              <c:f>Active!$K$21:$K$998</c:f>
              <c:numCache>
                <c:formatCode>General</c:formatCode>
                <c:ptCount val="978"/>
                <c:pt idx="2">
                  <c:v>-1.6619999994873069E-2</c:v>
                </c:pt>
                <c:pt idx="3">
                  <c:v>8.1199999985983595E-3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92B-46F2-9962-E21ED82CD273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5.0000000000000001E-3</c:v>
                  </c:pt>
                  <c:pt idx="1">
                    <c:v>1.2999999999999999E-3</c:v>
                  </c:pt>
                  <c:pt idx="2">
                    <c:v>5.9999999999999995E-4</c:v>
                  </c:pt>
                  <c:pt idx="3">
                    <c:v>2.9999999999999997E-4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5.0000000000000001E-3</c:v>
                  </c:pt>
                  <c:pt idx="1">
                    <c:v>1.2999999999999999E-3</c:v>
                  </c:pt>
                  <c:pt idx="2">
                    <c:v>5.9999999999999995E-4</c:v>
                  </c:pt>
                  <c:pt idx="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2.5</c:v>
                </c:pt>
                <c:pt idx="1">
                  <c:v>20</c:v>
                </c:pt>
                <c:pt idx="2">
                  <c:v>6384</c:v>
                </c:pt>
                <c:pt idx="3">
                  <c:v>6442.5</c:v>
                </c:pt>
              </c:numCache>
            </c:numRef>
          </c:xVal>
          <c:yVal>
            <c:numRef>
              <c:f>Active!$L$21:$L$998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92B-46F2-9962-E21ED82CD273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5.0000000000000001E-3</c:v>
                  </c:pt>
                  <c:pt idx="1">
                    <c:v>1.2999999999999999E-3</c:v>
                  </c:pt>
                  <c:pt idx="2">
                    <c:v>5.9999999999999995E-4</c:v>
                  </c:pt>
                  <c:pt idx="3">
                    <c:v>2.9999999999999997E-4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5.0000000000000001E-3</c:v>
                  </c:pt>
                  <c:pt idx="1">
                    <c:v>1.2999999999999999E-3</c:v>
                  </c:pt>
                  <c:pt idx="2">
                    <c:v>5.9999999999999995E-4</c:v>
                  </c:pt>
                  <c:pt idx="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2.5</c:v>
                </c:pt>
                <c:pt idx="1">
                  <c:v>20</c:v>
                </c:pt>
                <c:pt idx="2">
                  <c:v>6384</c:v>
                </c:pt>
                <c:pt idx="3">
                  <c:v>6442.5</c:v>
                </c:pt>
              </c:numCache>
            </c:numRef>
          </c:xVal>
          <c:yVal>
            <c:numRef>
              <c:f>Active!$M$21:$M$998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92B-46F2-9962-E21ED82CD273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5.0000000000000001E-3</c:v>
                  </c:pt>
                  <c:pt idx="1">
                    <c:v>1.2999999999999999E-3</c:v>
                  </c:pt>
                  <c:pt idx="2">
                    <c:v>5.9999999999999995E-4</c:v>
                  </c:pt>
                  <c:pt idx="3">
                    <c:v>2.9999999999999997E-4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5.0000000000000001E-3</c:v>
                  </c:pt>
                  <c:pt idx="1">
                    <c:v>1.2999999999999999E-3</c:v>
                  </c:pt>
                  <c:pt idx="2">
                    <c:v>5.9999999999999995E-4</c:v>
                  </c:pt>
                  <c:pt idx="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2.5</c:v>
                </c:pt>
                <c:pt idx="1">
                  <c:v>20</c:v>
                </c:pt>
                <c:pt idx="2">
                  <c:v>6384</c:v>
                </c:pt>
                <c:pt idx="3">
                  <c:v>6442.5</c:v>
                </c:pt>
              </c:numCache>
            </c:numRef>
          </c:xVal>
          <c:yVal>
            <c:numRef>
              <c:f>Active!$N$21:$N$998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92B-46F2-9962-E21ED82CD273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2.5</c:v>
                </c:pt>
                <c:pt idx="1">
                  <c:v>20</c:v>
                </c:pt>
                <c:pt idx="2">
                  <c:v>6384</c:v>
                </c:pt>
                <c:pt idx="3">
                  <c:v>6442.5</c:v>
                </c:pt>
              </c:numCache>
            </c:numRef>
          </c:xVal>
          <c:yVal>
            <c:numRef>
              <c:f>Active!$O$21:$O$998</c:f>
              <c:numCache>
                <c:formatCode>General</c:formatCode>
                <c:ptCount val="978"/>
                <c:pt idx="0">
                  <c:v>-2.4234156632239459</c:v>
                </c:pt>
                <c:pt idx="1">
                  <c:v>-2.4168118119562543</c:v>
                </c:pt>
                <c:pt idx="2">
                  <c:v>-1.5274128094048489E-2</c:v>
                </c:pt>
                <c:pt idx="3">
                  <c:v>6.8016032865201304E-3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192B-46F2-9962-E21ED82CD273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2.5</c:v>
                </c:pt>
                <c:pt idx="1">
                  <c:v>20</c:v>
                </c:pt>
                <c:pt idx="2">
                  <c:v>6384</c:v>
                </c:pt>
                <c:pt idx="3">
                  <c:v>6442.5</c:v>
                </c:pt>
              </c:numCache>
            </c:numRef>
          </c:xVal>
          <c:yVal>
            <c:numRef>
              <c:f>Active!$U$21:$U$998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192B-46F2-9962-E21ED82CD2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5878744"/>
        <c:axId val="1"/>
      </c:scatterChart>
      <c:valAx>
        <c:axId val="68587874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8587874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052631578947367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0</xdr:row>
      <xdr:rowOff>0</xdr:rowOff>
    </xdr:from>
    <xdr:to>
      <xdr:col>17</xdr:col>
      <xdr:colOff>104775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06167ECE-46C6-ABAC-A294-56BC699D6AE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vsolj.cetus-net.org/bulletin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39"/>
  <sheetViews>
    <sheetView tabSelected="1" workbookViewId="0">
      <selection activeCell="E12" sqref="E12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6" ht="20.25" x14ac:dyDescent="0.3">
      <c r="A1" s="1" t="s">
        <v>42</v>
      </c>
    </row>
    <row r="2" spans="1:6" x14ac:dyDescent="0.2">
      <c r="A2" t="s">
        <v>26</v>
      </c>
      <c r="B2" t="s">
        <v>43</v>
      </c>
      <c r="C2" s="3"/>
      <c r="D2" s="3"/>
    </row>
    <row r="3" spans="1:6" ht="13.5" thickBot="1" x14ac:dyDescent="0.25"/>
    <row r="4" spans="1:6" ht="14.25" thickTop="1" thickBot="1" x14ac:dyDescent="0.25">
      <c r="A4" s="5" t="s">
        <v>3</v>
      </c>
      <c r="C4" s="27" t="s">
        <v>40</v>
      </c>
      <c r="D4" s="28" t="s">
        <v>40</v>
      </c>
    </row>
    <row r="5" spans="1:6" ht="13.5" thickTop="1" x14ac:dyDescent="0.2">
      <c r="A5" s="9" t="s">
        <v>31</v>
      </c>
      <c r="B5" s="10"/>
      <c r="C5" s="11">
        <v>-9.5</v>
      </c>
      <c r="D5" s="10" t="s">
        <v>32</v>
      </c>
    </row>
    <row r="6" spans="1:6" x14ac:dyDescent="0.2">
      <c r="A6" s="5" t="s">
        <v>4</v>
      </c>
    </row>
    <row r="7" spans="1:6" x14ac:dyDescent="0.2">
      <c r="A7" t="s">
        <v>5</v>
      </c>
      <c r="C7" s="36">
        <v>51280.862999999998</v>
      </c>
      <c r="D7" s="30" t="s">
        <v>44</v>
      </c>
    </row>
    <row r="8" spans="1:6" x14ac:dyDescent="0.2">
      <c r="A8" t="s">
        <v>6</v>
      </c>
      <c r="C8" s="36">
        <v>0.97160000000000002</v>
      </c>
      <c r="D8" s="29" t="s">
        <v>41</v>
      </c>
    </row>
    <row r="9" spans="1:6" x14ac:dyDescent="0.2">
      <c r="A9" s="24" t="s">
        <v>35</v>
      </c>
      <c r="B9" s="25">
        <v>21</v>
      </c>
      <c r="C9" s="22" t="str">
        <f>"F"&amp;B9</f>
        <v>F21</v>
      </c>
      <c r="D9" s="23" t="str">
        <f>"G"&amp;B9</f>
        <v>G21</v>
      </c>
    </row>
    <row r="10" spans="1:6" ht="13.5" thickBot="1" x14ac:dyDescent="0.25">
      <c r="A10" s="10"/>
      <c r="B10" s="10"/>
      <c r="C10" s="4" t="s">
        <v>22</v>
      </c>
      <c r="D10" s="4" t="s">
        <v>23</v>
      </c>
      <c r="E10" s="10"/>
    </row>
    <row r="11" spans="1:6" x14ac:dyDescent="0.2">
      <c r="A11" s="10" t="s">
        <v>18</v>
      </c>
      <c r="B11" s="10"/>
      <c r="C11" s="21">
        <f ca="1">INTERCEPT(INDIRECT($D$9):G991,INDIRECT($C$9):F991)</f>
        <v>-2.4243590705479017</v>
      </c>
      <c r="D11" s="3"/>
      <c r="E11" s="10"/>
    </row>
    <row r="12" spans="1:6" x14ac:dyDescent="0.2">
      <c r="A12" s="10" t="s">
        <v>19</v>
      </c>
      <c r="B12" s="10"/>
      <c r="C12" s="21">
        <f ca="1">SLOPE(INDIRECT($D$9):G991,INDIRECT($C$9):F991)</f>
        <v>3.7736292958237045E-4</v>
      </c>
      <c r="D12" s="3"/>
      <c r="E12" s="10"/>
    </row>
    <row r="13" spans="1:6" x14ac:dyDescent="0.2">
      <c r="A13" s="10" t="s">
        <v>21</v>
      </c>
      <c r="B13" s="10"/>
      <c r="C13" s="3" t="s">
        <v>16</v>
      </c>
    </row>
    <row r="14" spans="1:6" x14ac:dyDescent="0.2">
      <c r="A14" s="10"/>
      <c r="B14" s="10"/>
      <c r="C14" s="10"/>
    </row>
    <row r="15" spans="1:6" x14ac:dyDescent="0.2">
      <c r="A15" s="12" t="s">
        <v>20</v>
      </c>
      <c r="B15" s="10"/>
      <c r="C15" s="13">
        <f ca="1">(C7+C11)+(C8+C12)*INT(MAX(F21:F3532))</f>
        <v>57539.916812921823</v>
      </c>
      <c r="E15" s="14" t="s">
        <v>37</v>
      </c>
      <c r="F15" s="11">
        <v>1</v>
      </c>
    </row>
    <row r="16" spans="1:6" x14ac:dyDescent="0.2">
      <c r="A16" s="16" t="s">
        <v>7</v>
      </c>
      <c r="B16" s="10"/>
      <c r="C16" s="17">
        <f ca="1">+C8+C12</f>
        <v>0.97197736292958237</v>
      </c>
      <c r="E16" s="14" t="s">
        <v>33</v>
      </c>
      <c r="F16" s="15">
        <f ca="1">NOW()+15018.5+$C$5/24</f>
        <v>60346.679426967588</v>
      </c>
    </row>
    <row r="17" spans="1:21" ht="13.5" thickBot="1" x14ac:dyDescent="0.25">
      <c r="A17" s="14" t="s">
        <v>30</v>
      </c>
      <c r="B17" s="10"/>
      <c r="C17" s="10">
        <f>COUNT(C21:C2190)</f>
        <v>4</v>
      </c>
      <c r="E17" s="14" t="s">
        <v>38</v>
      </c>
      <c r="F17" s="15">
        <f ca="1">ROUND(2*(F16-$C$7)/$C$8,0)/2+F15</f>
        <v>9332</v>
      </c>
    </row>
    <row r="18" spans="1:21" ht="14.25" thickTop="1" thickBot="1" x14ac:dyDescent="0.25">
      <c r="A18" s="16" t="s">
        <v>8</v>
      </c>
      <c r="B18" s="10"/>
      <c r="C18" s="19">
        <f ca="1">+C15</f>
        <v>57539.916812921823</v>
      </c>
      <c r="D18" s="20">
        <f ca="1">+C16</f>
        <v>0.97197736292958237</v>
      </c>
      <c r="E18" s="14" t="s">
        <v>39</v>
      </c>
      <c r="F18" s="23">
        <f ca="1">ROUND(2*(F16-$C$15)/$C$16,0)/2+F15</f>
        <v>2888.5</v>
      </c>
    </row>
    <row r="19" spans="1:21" ht="13.5" thickTop="1" x14ac:dyDescent="0.2">
      <c r="E19" s="14" t="s">
        <v>34</v>
      </c>
      <c r="F19" s="18">
        <f ca="1">+$C$15+$C$16*F18-15018.5-$C$5/24</f>
        <v>45329.369259077255</v>
      </c>
    </row>
    <row r="20" spans="1:21" ht="13.5" thickBot="1" x14ac:dyDescent="0.25">
      <c r="A20" s="4" t="s">
        <v>9</v>
      </c>
      <c r="B20" s="4" t="s">
        <v>10</v>
      </c>
      <c r="C20" s="4" t="s">
        <v>11</v>
      </c>
      <c r="D20" s="4" t="s">
        <v>15</v>
      </c>
      <c r="E20" s="4" t="s">
        <v>12</v>
      </c>
      <c r="F20" s="4" t="s">
        <v>13</v>
      </c>
      <c r="G20" s="4" t="s">
        <v>14</v>
      </c>
      <c r="H20" s="7" t="s">
        <v>2</v>
      </c>
      <c r="I20" s="7" t="s">
        <v>47</v>
      </c>
      <c r="J20" s="7" t="s">
        <v>0</v>
      </c>
      <c r="K20" s="7" t="s">
        <v>1</v>
      </c>
      <c r="L20" s="7" t="s">
        <v>27</v>
      </c>
      <c r="M20" s="7" t="s">
        <v>28</v>
      </c>
      <c r="N20" s="7" t="s">
        <v>29</v>
      </c>
      <c r="O20" s="7" t="s">
        <v>25</v>
      </c>
      <c r="P20" s="6" t="s">
        <v>24</v>
      </c>
      <c r="Q20" s="4" t="s">
        <v>17</v>
      </c>
      <c r="U20" s="26" t="s">
        <v>36</v>
      </c>
    </row>
    <row r="21" spans="1:21" x14ac:dyDescent="0.2">
      <c r="A21" s="30" t="s">
        <v>44</v>
      </c>
      <c r="B21" s="31" t="s">
        <v>45</v>
      </c>
      <c r="C21" s="30">
        <v>51280.862999999998</v>
      </c>
      <c r="D21" s="30">
        <v>5.0000000000000001E-3</v>
      </c>
      <c r="E21">
        <f>+(C21-C$7)/C$8</f>
        <v>0</v>
      </c>
      <c r="F21" s="35">
        <f>ROUND(2*E21,0)/2+2.5</f>
        <v>2.5</v>
      </c>
      <c r="G21">
        <f>+C21-(C$7+F21*C$8)</f>
        <v>-2.4289999999964493</v>
      </c>
      <c r="I21">
        <f>+G21</f>
        <v>-2.4289999999964493</v>
      </c>
      <c r="O21">
        <f ca="1">+C$11+C$12*$F21</f>
        <v>-2.4234156632239459</v>
      </c>
      <c r="Q21" s="2">
        <f>+C21-15018.5</f>
        <v>36262.362999999998</v>
      </c>
    </row>
    <row r="22" spans="1:21" x14ac:dyDescent="0.2">
      <c r="A22" s="30" t="s">
        <v>44</v>
      </c>
      <c r="B22" s="31" t="s">
        <v>46</v>
      </c>
      <c r="C22" s="30">
        <v>51297.883800000003</v>
      </c>
      <c r="D22" s="30">
        <v>1.2999999999999999E-3</v>
      </c>
      <c r="E22">
        <f>+(C22-C$7)/C$8</f>
        <v>17.51832029642414</v>
      </c>
      <c r="F22" s="35">
        <f>ROUND(2*E22,0)/2+2.5</f>
        <v>20</v>
      </c>
      <c r="G22">
        <f>+C22-(C$7+F22*C$8)</f>
        <v>-2.4111999999950058</v>
      </c>
      <c r="I22">
        <f>+G22</f>
        <v>-2.4111999999950058</v>
      </c>
      <c r="O22">
        <f ca="1">+C$11+C$12*$F22</f>
        <v>-2.4168118119562543</v>
      </c>
      <c r="Q22" s="2">
        <f>+C22-15018.5</f>
        <v>36279.383800000003</v>
      </c>
    </row>
    <row r="23" spans="1:21" x14ac:dyDescent="0.2">
      <c r="A23" s="32" t="s">
        <v>48</v>
      </c>
      <c r="B23" s="33" t="s">
        <v>46</v>
      </c>
      <c r="C23" s="34">
        <v>57483.540780000003</v>
      </c>
      <c r="D23" s="34">
        <v>5.9999999999999995E-4</v>
      </c>
      <c r="E23">
        <f>+(C23-C$7)/C$8</f>
        <v>6383.9828941951473</v>
      </c>
      <c r="F23">
        <f>ROUND(2*E23,0)/2</f>
        <v>6384</v>
      </c>
      <c r="G23">
        <f>+C23-(C$7+F23*C$8)</f>
        <v>-1.6619999994873069E-2</v>
      </c>
      <c r="K23">
        <f>+G23</f>
        <v>-1.6619999994873069E-2</v>
      </c>
      <c r="O23">
        <f ca="1">+C$11+C$12*$F23</f>
        <v>-1.5274128094048489E-2</v>
      </c>
      <c r="Q23" s="2">
        <f>+C23-15018.5</f>
        <v>42465.040780000003</v>
      </c>
    </row>
    <row r="24" spans="1:21" x14ac:dyDescent="0.2">
      <c r="A24" s="32" t="s">
        <v>48</v>
      </c>
      <c r="B24" s="33" t="s">
        <v>45</v>
      </c>
      <c r="C24" s="34">
        <v>57540.404119999999</v>
      </c>
      <c r="D24" s="34">
        <v>2.9999999999999997E-4</v>
      </c>
      <c r="E24">
        <f>+(C24-C$7)/C$8</f>
        <v>6442.5083573487045</v>
      </c>
      <c r="F24">
        <f>ROUND(2*E24,0)/2</f>
        <v>6442.5</v>
      </c>
      <c r="G24">
        <f>+C24-(C$7+F24*C$8)</f>
        <v>8.1199999985983595E-3</v>
      </c>
      <c r="K24">
        <f>+G24</f>
        <v>8.1199999985983595E-3</v>
      </c>
      <c r="O24">
        <f ca="1">+C$11+C$12*$F24</f>
        <v>6.8016032865201304E-3</v>
      </c>
      <c r="Q24" s="2">
        <f>+C24-15018.5</f>
        <v>42521.904119999999</v>
      </c>
    </row>
    <row r="25" spans="1:21" x14ac:dyDescent="0.2">
      <c r="C25" s="8"/>
      <c r="D25" s="8"/>
      <c r="Q25" s="2"/>
    </row>
    <row r="26" spans="1:21" x14ac:dyDescent="0.2">
      <c r="C26" s="8"/>
      <c r="D26" s="8"/>
      <c r="Q26" s="2"/>
    </row>
    <row r="27" spans="1:21" x14ac:dyDescent="0.2">
      <c r="C27" s="8"/>
      <c r="D27" s="8"/>
      <c r="Q27" s="2"/>
    </row>
    <row r="28" spans="1:21" x14ac:dyDescent="0.2">
      <c r="C28" s="8"/>
      <c r="D28" s="8"/>
      <c r="Q28" s="2"/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4" x14ac:dyDescent="0.2">
      <c r="C33" s="8"/>
      <c r="D33" s="8"/>
    </row>
    <row r="34" spans="3:4" x14ac:dyDescent="0.2">
      <c r="C34" s="8"/>
      <c r="D34" s="8"/>
    </row>
    <row r="35" spans="3:4" x14ac:dyDescent="0.2">
      <c r="C35" s="8"/>
      <c r="D35" s="8"/>
    </row>
    <row r="36" spans="3:4" x14ac:dyDescent="0.2">
      <c r="C36" s="8"/>
      <c r="D36" s="8"/>
    </row>
    <row r="37" spans="3:4" x14ac:dyDescent="0.2">
      <c r="C37" s="8"/>
      <c r="D37" s="8"/>
    </row>
    <row r="38" spans="3:4" x14ac:dyDescent="0.2">
      <c r="C38" s="8"/>
      <c r="D38" s="8"/>
    </row>
    <row r="39" spans="3:4" x14ac:dyDescent="0.2">
      <c r="C39" s="8"/>
      <c r="D39" s="8"/>
    </row>
    <row r="40" spans="3:4" x14ac:dyDescent="0.2">
      <c r="C40" s="8"/>
      <c r="D40" s="8"/>
    </row>
    <row r="41" spans="3:4" x14ac:dyDescent="0.2">
      <c r="C41" s="8"/>
      <c r="D41" s="8"/>
    </row>
    <row r="42" spans="3:4" x14ac:dyDescent="0.2">
      <c r="C42" s="8"/>
      <c r="D42" s="8"/>
    </row>
    <row r="43" spans="3:4" x14ac:dyDescent="0.2">
      <c r="C43" s="8"/>
      <c r="D43" s="8"/>
    </row>
    <row r="44" spans="3:4" x14ac:dyDescent="0.2">
      <c r="C44" s="8"/>
      <c r="D44" s="8"/>
    </row>
    <row r="45" spans="3:4" x14ac:dyDescent="0.2">
      <c r="C45" s="8"/>
      <c r="D45" s="8"/>
    </row>
    <row r="46" spans="3:4" x14ac:dyDescent="0.2">
      <c r="C46" s="8"/>
      <c r="D46" s="8"/>
    </row>
    <row r="47" spans="3:4" x14ac:dyDescent="0.2">
      <c r="C47" s="8"/>
      <c r="D47" s="8"/>
    </row>
    <row r="48" spans="3:4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</sheetData>
  <phoneticPr fontId="6" type="noConversion"/>
  <hyperlinks>
    <hyperlink ref="H852" r:id="rId1" display="http://vsolj.cetus-net.org/bulletin.html"/>
  </hyperlinks>
  <pageMargins left="0.75" right="0.75" top="1" bottom="1" header="0.5" footer="0.5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2024-02-06T03:18:22Z</dcterms:modified>
</cp:coreProperties>
</file>