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425B20-58FC-4601-9508-952347997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5" i="2" l="1"/>
  <c r="F75" i="2" s="1"/>
  <c r="G75" i="2" s="1"/>
  <c r="Q75" i="2"/>
  <c r="E73" i="2"/>
  <c r="F73" i="2" s="1"/>
  <c r="G73" i="2" s="1"/>
  <c r="Q73" i="2"/>
  <c r="E74" i="2"/>
  <c r="F74" i="2" s="1"/>
  <c r="G74" i="2" s="1"/>
  <c r="Q74" i="2"/>
  <c r="E72" i="2"/>
  <c r="F72" i="2" s="1"/>
  <c r="G72" i="2" s="1"/>
  <c r="Q72" i="2"/>
  <c r="E28" i="2"/>
  <c r="F28" i="2" s="1"/>
  <c r="G28" i="2" s="1"/>
  <c r="K28" i="2" s="1"/>
  <c r="E29" i="2"/>
  <c r="F29" i="2" s="1"/>
  <c r="G29" i="2" s="1"/>
  <c r="J29" i="2" s="1"/>
  <c r="E30" i="2"/>
  <c r="F30" i="2"/>
  <c r="G30" i="2" s="1"/>
  <c r="E31" i="2"/>
  <c r="F31" i="2"/>
  <c r="G31" i="2" s="1"/>
  <c r="E32" i="2"/>
  <c r="F32" i="2"/>
  <c r="G32" i="2"/>
  <c r="E33" i="2"/>
  <c r="F33" i="2"/>
  <c r="G33" i="2" s="1"/>
  <c r="J33" i="2" s="1"/>
  <c r="E34" i="2"/>
  <c r="F34" i="2" s="1"/>
  <c r="G34" i="2" s="1"/>
  <c r="K34" i="2" s="1"/>
  <c r="E35" i="2"/>
  <c r="F35" i="2" s="1"/>
  <c r="G35" i="2" s="1"/>
  <c r="J35" i="2" s="1"/>
  <c r="E36" i="2"/>
  <c r="F36" i="2" s="1"/>
  <c r="G36" i="2" s="1"/>
  <c r="J36" i="2" s="1"/>
  <c r="E37" i="2"/>
  <c r="F37" i="2"/>
  <c r="G37" i="2"/>
  <c r="J37" i="2" s="1"/>
  <c r="E39" i="2"/>
  <c r="F39" i="2"/>
  <c r="G39" i="2" s="1"/>
  <c r="E40" i="2"/>
  <c r="F40" i="2"/>
  <c r="G40" i="2"/>
  <c r="J40" i="2" s="1"/>
  <c r="E41" i="2"/>
  <c r="F41" i="2"/>
  <c r="G41" i="2" s="1"/>
  <c r="J41" i="2" s="1"/>
  <c r="E42" i="2"/>
  <c r="F42" i="2"/>
  <c r="G42" i="2"/>
  <c r="J42" i="2" s="1"/>
  <c r="E43" i="2"/>
  <c r="F43" i="2" s="1"/>
  <c r="G43" i="2" s="1"/>
  <c r="E44" i="2"/>
  <c r="F44" i="2" s="1"/>
  <c r="G44" i="2" s="1"/>
  <c r="J44" i="2"/>
  <c r="E45" i="2"/>
  <c r="F45" i="2" s="1"/>
  <c r="G45" i="2" s="1"/>
  <c r="E46" i="2"/>
  <c r="F46" i="2" s="1"/>
  <c r="G46" i="2" s="1"/>
  <c r="E47" i="2"/>
  <c r="F47" i="2" s="1"/>
  <c r="G47" i="2" s="1"/>
  <c r="E48" i="2"/>
  <c r="F48" i="2" s="1"/>
  <c r="G48" i="2" s="1"/>
  <c r="J48" i="2" s="1"/>
  <c r="E49" i="2"/>
  <c r="F49" i="2" s="1"/>
  <c r="G49" i="2" s="1"/>
  <c r="E50" i="2"/>
  <c r="F50" i="2" s="1"/>
  <c r="G50" i="2" s="1"/>
  <c r="E51" i="2"/>
  <c r="F51" i="2"/>
  <c r="G51" i="2" s="1"/>
  <c r="E52" i="2"/>
  <c r="F52" i="2" s="1"/>
  <c r="G52" i="2" s="1"/>
  <c r="E38" i="2"/>
  <c r="F38" i="2"/>
  <c r="U38" i="2"/>
  <c r="E71" i="2"/>
  <c r="F71" i="2" s="1"/>
  <c r="G71" i="2" s="1"/>
  <c r="Q71" i="2"/>
  <c r="E21" i="2"/>
  <c r="F21" i="2" s="1"/>
  <c r="G21" i="2" s="1"/>
  <c r="K21" i="2" s="1"/>
  <c r="E22" i="2"/>
  <c r="F22" i="2" s="1"/>
  <c r="G22" i="2" s="1"/>
  <c r="K22" i="2" s="1"/>
  <c r="E24" i="2"/>
  <c r="F24" i="2" s="1"/>
  <c r="G24" i="2" s="1"/>
  <c r="K24" i="2" s="1"/>
  <c r="E53" i="2"/>
  <c r="F53" i="2" s="1"/>
  <c r="G53" i="2" s="1"/>
  <c r="E54" i="2"/>
  <c r="F54" i="2" s="1"/>
  <c r="G54" i="2" s="1"/>
  <c r="E56" i="2"/>
  <c r="F56" i="2" s="1"/>
  <c r="G56" i="2" s="1"/>
  <c r="E57" i="2"/>
  <c r="F57" i="2" s="1"/>
  <c r="G57" i="2" s="1"/>
  <c r="E58" i="2"/>
  <c r="F58" i="2" s="1"/>
  <c r="G58" i="2" s="1"/>
  <c r="K58" i="2" s="1"/>
  <c r="E60" i="2"/>
  <c r="F60" i="2" s="1"/>
  <c r="G60" i="2" s="1"/>
  <c r="E61" i="2"/>
  <c r="F61" i="2" s="1"/>
  <c r="G61" i="2" s="1"/>
  <c r="E70" i="2"/>
  <c r="F70" i="2" s="1"/>
  <c r="G70" i="2" s="1"/>
  <c r="Q28" i="2"/>
  <c r="E23" i="2"/>
  <c r="F23" i="2" s="1"/>
  <c r="G23" i="2" s="1"/>
  <c r="K23" i="2" s="1"/>
  <c r="E25" i="2"/>
  <c r="F25" i="2" s="1"/>
  <c r="G25" i="2" s="1"/>
  <c r="K25" i="2" s="1"/>
  <c r="E26" i="2"/>
  <c r="F26" i="2" s="1"/>
  <c r="G26" i="2" s="1"/>
  <c r="K26" i="2" s="1"/>
  <c r="E27" i="2"/>
  <c r="F27" i="2" s="1"/>
  <c r="G27" i="2" s="1"/>
  <c r="K27" i="2" s="1"/>
  <c r="E55" i="2"/>
  <c r="F55" i="2" s="1"/>
  <c r="G55" i="2" s="1"/>
  <c r="J55" i="2" s="1"/>
  <c r="E59" i="2"/>
  <c r="F59" i="2" s="1"/>
  <c r="G59" i="2" s="1"/>
  <c r="E62" i="2"/>
  <c r="F62" i="2" s="1"/>
  <c r="G62" i="2" s="1"/>
  <c r="E63" i="2"/>
  <c r="F63" i="2" s="1"/>
  <c r="G63" i="2" s="1"/>
  <c r="E64" i="2"/>
  <c r="F64" i="2"/>
  <c r="G64" i="2" s="1"/>
  <c r="J64" i="2" s="1"/>
  <c r="E65" i="2"/>
  <c r="F65" i="2" s="1"/>
  <c r="G65" i="2" s="1"/>
  <c r="J65" i="2" s="1"/>
  <c r="E66" i="2"/>
  <c r="F66" i="2"/>
  <c r="G66" i="2" s="1"/>
  <c r="J66" i="2" s="1"/>
  <c r="E67" i="2"/>
  <c r="F67" i="2"/>
  <c r="G67" i="2" s="1"/>
  <c r="J67" i="2" s="1"/>
  <c r="E68" i="2"/>
  <c r="F68" i="2"/>
  <c r="G68" i="2"/>
  <c r="J68" i="2" s="1"/>
  <c r="E69" i="2"/>
  <c r="F69" i="2"/>
  <c r="G69" i="2" s="1"/>
  <c r="C9" i="2"/>
  <c r="D9" i="2"/>
  <c r="Q27" i="2"/>
  <c r="Q26" i="2"/>
  <c r="Q25" i="2"/>
  <c r="Q23" i="2"/>
  <c r="Q70" i="2"/>
  <c r="G11" i="3"/>
  <c r="C11" i="3" s="1"/>
  <c r="E11" i="3" s="1"/>
  <c r="G44" i="3"/>
  <c r="C44" i="3" s="1"/>
  <c r="E44" i="3" s="1"/>
  <c r="G43" i="3"/>
  <c r="C43" i="3" s="1"/>
  <c r="E43" i="3" s="1"/>
  <c r="G42" i="3"/>
  <c r="C42" i="3"/>
  <c r="E42" i="3"/>
  <c r="G41" i="3"/>
  <c r="C41" i="3" s="1"/>
  <c r="E41" i="3" s="1"/>
  <c r="G40" i="3"/>
  <c r="C40" i="3"/>
  <c r="E40" i="3" s="1"/>
  <c r="G39" i="3"/>
  <c r="C39" i="3"/>
  <c r="E39" i="3" s="1"/>
  <c r="G38" i="3"/>
  <c r="C38" i="3"/>
  <c r="E38" i="3" s="1"/>
  <c r="G37" i="3"/>
  <c r="C37" i="3" s="1"/>
  <c r="G36" i="3"/>
  <c r="C36" i="3" s="1"/>
  <c r="E36" i="3" s="1"/>
  <c r="G35" i="3"/>
  <c r="C35" i="3" s="1"/>
  <c r="E35" i="3" s="1"/>
  <c r="G34" i="3"/>
  <c r="C34" i="3"/>
  <c r="E34" i="3"/>
  <c r="G33" i="3"/>
  <c r="C33" i="3" s="1"/>
  <c r="E33" i="3"/>
  <c r="G32" i="3"/>
  <c r="C32" i="3"/>
  <c r="G31" i="3"/>
  <c r="C31" i="3" s="1"/>
  <c r="E31" i="3" s="1"/>
  <c r="G30" i="3"/>
  <c r="C30" i="3"/>
  <c r="E30" i="3" s="1"/>
  <c r="G29" i="3"/>
  <c r="C29" i="3" s="1"/>
  <c r="E29" i="3"/>
  <c r="G28" i="3"/>
  <c r="C28" i="3" s="1"/>
  <c r="E28" i="3" s="1"/>
  <c r="G27" i="3"/>
  <c r="C27" i="3" s="1"/>
  <c r="E27" i="3" s="1"/>
  <c r="G26" i="3"/>
  <c r="C26" i="3"/>
  <c r="E26" i="3" s="1"/>
  <c r="G25" i="3"/>
  <c r="C25" i="3" s="1"/>
  <c r="E25" i="3"/>
  <c r="G24" i="3"/>
  <c r="C24" i="3"/>
  <c r="E24" i="3" s="1"/>
  <c r="G23" i="3"/>
  <c r="C23" i="3"/>
  <c r="E23" i="3" s="1"/>
  <c r="G22" i="3"/>
  <c r="C22" i="3"/>
  <c r="E22" i="3" s="1"/>
  <c r="G21" i="3"/>
  <c r="C21" i="3" s="1"/>
  <c r="E21" i="3"/>
  <c r="G20" i="3"/>
  <c r="C20" i="3" s="1"/>
  <c r="E20" i="3" s="1"/>
  <c r="G19" i="3"/>
  <c r="C19" i="3" s="1"/>
  <c r="E19" i="3" s="1"/>
  <c r="G18" i="3"/>
  <c r="C18" i="3"/>
  <c r="E18" i="3" s="1"/>
  <c r="G17" i="3"/>
  <c r="C17" i="3" s="1"/>
  <c r="E17" i="3"/>
  <c r="G16" i="3"/>
  <c r="C16" i="3"/>
  <c r="E16" i="3" s="1"/>
  <c r="G15" i="3"/>
  <c r="C15" i="3" s="1"/>
  <c r="E15" i="3" s="1"/>
  <c r="G14" i="3"/>
  <c r="C14" i="3"/>
  <c r="E14" i="3" s="1"/>
  <c r="G13" i="3"/>
  <c r="C13" i="3" s="1"/>
  <c r="E13" i="3"/>
  <c r="G12" i="3"/>
  <c r="C12" i="3" s="1"/>
  <c r="E12" i="3" s="1"/>
  <c r="G49" i="3"/>
  <c r="C49" i="3" s="1"/>
  <c r="E49" i="3" s="1"/>
  <c r="G48" i="3"/>
  <c r="C48" i="3"/>
  <c r="E48" i="3"/>
  <c r="G47" i="3"/>
  <c r="C47" i="3" s="1"/>
  <c r="E47" i="3" s="1"/>
  <c r="G46" i="3"/>
  <c r="C46" i="3"/>
  <c r="E46" i="3" s="1"/>
  <c r="G45" i="3"/>
  <c r="C45" i="3" s="1"/>
  <c r="E45" i="3" s="1"/>
  <c r="H11" i="3"/>
  <c r="B11" i="3"/>
  <c r="D11" i="3"/>
  <c r="A11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F11" i="1"/>
  <c r="F16" i="2"/>
  <c r="F17" i="2" s="1"/>
  <c r="C17" i="2"/>
  <c r="Q21" i="2"/>
  <c r="Q22" i="2"/>
  <c r="Q24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J46" i="2"/>
  <c r="Q46" i="2"/>
  <c r="Q47" i="2"/>
  <c r="Q48" i="2"/>
  <c r="Q49" i="2"/>
  <c r="Q50" i="2"/>
  <c r="Q51" i="2"/>
  <c r="Q55" i="2"/>
  <c r="Q59" i="2"/>
  <c r="Q62" i="2"/>
  <c r="Q63" i="2"/>
  <c r="Q64" i="2"/>
  <c r="Q65" i="2"/>
  <c r="Q66" i="2"/>
  <c r="Q67" i="2"/>
  <c r="Q68" i="2"/>
  <c r="Q69" i="2"/>
  <c r="Q52" i="2"/>
  <c r="Q53" i="2"/>
  <c r="Q60" i="2"/>
  <c r="Q61" i="2"/>
  <c r="Q54" i="2"/>
  <c r="Q56" i="2"/>
  <c r="Q57" i="2"/>
  <c r="Q58" i="2"/>
  <c r="E44" i="1"/>
  <c r="F44" i="1" s="1"/>
  <c r="G44" i="1" s="1"/>
  <c r="E45" i="1"/>
  <c r="F45" i="1" s="1"/>
  <c r="G45" i="1" s="1"/>
  <c r="H45" i="1" s="1"/>
  <c r="E46" i="1"/>
  <c r="F46" i="1" s="1"/>
  <c r="G46" i="1" s="1"/>
  <c r="E47" i="1"/>
  <c r="F47" i="1"/>
  <c r="G47" i="1" s="1"/>
  <c r="H47" i="1" s="1"/>
  <c r="E48" i="1"/>
  <c r="F48" i="1" s="1"/>
  <c r="G48" i="1" s="1"/>
  <c r="E49" i="1"/>
  <c r="F49" i="1" s="1"/>
  <c r="G49" i="1" s="1"/>
  <c r="H49" i="1" s="1"/>
  <c r="E50" i="1"/>
  <c r="F50" i="1" s="1"/>
  <c r="G50" i="1" s="1"/>
  <c r="E51" i="1"/>
  <c r="F51" i="1"/>
  <c r="G51" i="1"/>
  <c r="H51" i="1" s="1"/>
  <c r="E52" i="1"/>
  <c r="F52" i="1" s="1"/>
  <c r="G52" i="1"/>
  <c r="E53" i="1"/>
  <c r="F53" i="1" s="1"/>
  <c r="G53" i="1" s="1"/>
  <c r="E54" i="1"/>
  <c r="F54" i="1"/>
  <c r="G54" i="1" s="1"/>
  <c r="E55" i="1"/>
  <c r="F55" i="1"/>
  <c r="G55" i="1" s="1"/>
  <c r="H55" i="1" s="1"/>
  <c r="E56" i="1"/>
  <c r="F56" i="1" s="1"/>
  <c r="G56" i="1"/>
  <c r="E57" i="1"/>
  <c r="F57" i="1" s="1"/>
  <c r="G57" i="1" s="1"/>
  <c r="E58" i="1"/>
  <c r="F58" i="1" s="1"/>
  <c r="G58" i="1" s="1"/>
  <c r="E59" i="1"/>
  <c r="F59" i="1"/>
  <c r="G59" i="1" s="1"/>
  <c r="E60" i="1"/>
  <c r="F60" i="1" s="1"/>
  <c r="G60" i="1"/>
  <c r="E61" i="1"/>
  <c r="F61" i="1" s="1"/>
  <c r="G61" i="1" s="1"/>
  <c r="E62" i="1"/>
  <c r="F62" i="1" s="1"/>
  <c r="G62" i="1" s="1"/>
  <c r="E63" i="1"/>
  <c r="F63" i="1"/>
  <c r="G63" i="1" s="1"/>
  <c r="J63" i="1" s="1"/>
  <c r="E64" i="1"/>
  <c r="F64" i="1" s="1"/>
  <c r="G64" i="1"/>
  <c r="G11" i="1"/>
  <c r="E21" i="1"/>
  <c r="F21" i="1" s="1"/>
  <c r="G21" i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E25" i="1"/>
  <c r="F25" i="1"/>
  <c r="G25" i="1" s="1"/>
  <c r="H25" i="1" s="1"/>
  <c r="E26" i="1"/>
  <c r="F26" i="1"/>
  <c r="G26" i="1" s="1"/>
  <c r="E27" i="1"/>
  <c r="F27" i="1" s="1"/>
  <c r="G27" i="1"/>
  <c r="E28" i="1"/>
  <c r="F28" i="1" s="1"/>
  <c r="G28" i="1" s="1"/>
  <c r="E29" i="1"/>
  <c r="F29" i="1" s="1"/>
  <c r="G29" i="1" s="1"/>
  <c r="E30" i="1"/>
  <c r="F30" i="1"/>
  <c r="G30" i="1"/>
  <c r="E31" i="1"/>
  <c r="F31" i="1" s="1"/>
  <c r="G31" i="1" s="1"/>
  <c r="E32" i="1"/>
  <c r="F32" i="1" s="1"/>
  <c r="G32" i="1" s="1"/>
  <c r="E33" i="1"/>
  <c r="F33" i="1"/>
  <c r="G33" i="1" s="1"/>
  <c r="E34" i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/>
  <c r="G38" i="1"/>
  <c r="H38" i="1" s="1"/>
  <c r="E39" i="1"/>
  <c r="F39" i="1" s="1"/>
  <c r="G39" i="1" s="1"/>
  <c r="E40" i="1"/>
  <c r="F40" i="1" s="1"/>
  <c r="G40" i="1" s="1"/>
  <c r="H40" i="1" s="1"/>
  <c r="E41" i="1"/>
  <c r="F41" i="1" s="1"/>
  <c r="G41" i="1" s="1"/>
  <c r="E42" i="1"/>
  <c r="F42" i="1"/>
  <c r="G42" i="1"/>
  <c r="H42" i="1" s="1"/>
  <c r="E43" i="1"/>
  <c r="F43" i="1" s="1"/>
  <c r="G43" i="1" s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33" i="1"/>
  <c r="Q34" i="1"/>
  <c r="Q35" i="1"/>
  <c r="Q36" i="1"/>
  <c r="Q37" i="1"/>
  <c r="Q38" i="1"/>
  <c r="Q39" i="1"/>
  <c r="Q40" i="1"/>
  <c r="Q41" i="1"/>
  <c r="Q42" i="1"/>
  <c r="Q43" i="1"/>
  <c r="Q29" i="1"/>
  <c r="E14" i="1"/>
  <c r="E15" i="1" s="1"/>
  <c r="C17" i="1"/>
  <c r="Q32" i="1"/>
  <c r="Q31" i="1"/>
  <c r="Q30" i="1"/>
  <c r="Q28" i="1"/>
  <c r="Q27" i="1"/>
  <c r="Q26" i="1"/>
  <c r="Q25" i="1"/>
  <c r="Q24" i="1"/>
  <c r="Q21" i="1"/>
  <c r="Q22" i="1"/>
  <c r="Q23" i="1"/>
  <c r="J58" i="1"/>
  <c r="H56" i="1"/>
  <c r="H33" i="1"/>
  <c r="H24" i="1"/>
  <c r="H27" i="1"/>
  <c r="H53" i="1"/>
  <c r="H26" i="1"/>
  <c r="I29" i="1"/>
  <c r="J60" i="1"/>
  <c r="J70" i="2"/>
  <c r="K71" i="2"/>
  <c r="J30" i="2"/>
  <c r="K72" i="2"/>
  <c r="C11" i="2"/>
  <c r="C11" i="1"/>
  <c r="K75" i="2" l="1"/>
  <c r="K74" i="2"/>
  <c r="K73" i="2"/>
  <c r="H39" i="1"/>
  <c r="H48" i="1"/>
  <c r="H43" i="1"/>
  <c r="J62" i="1"/>
  <c r="H37" i="1"/>
  <c r="H31" i="1"/>
  <c r="H46" i="1"/>
  <c r="H44" i="1"/>
  <c r="H41" i="1"/>
  <c r="H35" i="1"/>
  <c r="J59" i="1"/>
  <c r="J45" i="2"/>
  <c r="H34" i="1"/>
  <c r="J61" i="1"/>
  <c r="K56" i="2"/>
  <c r="J62" i="2"/>
  <c r="K54" i="2"/>
  <c r="J49" i="2"/>
  <c r="J43" i="2"/>
  <c r="H32" i="1"/>
  <c r="H54" i="1"/>
  <c r="J64" i="1"/>
  <c r="J59" i="2"/>
  <c r="K53" i="2"/>
  <c r="J39" i="2"/>
  <c r="K57" i="2"/>
  <c r="J63" i="2"/>
  <c r="H30" i="1"/>
  <c r="H28" i="1"/>
  <c r="J50" i="2"/>
  <c r="J47" i="2"/>
  <c r="J31" i="2"/>
  <c r="J69" i="2"/>
  <c r="K61" i="2"/>
  <c r="J32" i="2"/>
  <c r="H52" i="1"/>
  <c r="H50" i="1"/>
  <c r="H36" i="1"/>
  <c r="E32" i="3"/>
  <c r="K60" i="2"/>
  <c r="K52" i="2"/>
  <c r="J57" i="1"/>
  <c r="E37" i="3"/>
  <c r="J51" i="2"/>
  <c r="C12" i="2"/>
  <c r="C12" i="1"/>
  <c r="O75" i="2" l="1"/>
  <c r="S75" i="2" s="1"/>
  <c r="O61" i="1"/>
  <c r="R61" i="1" s="1"/>
  <c r="O28" i="1"/>
  <c r="R28" i="1" s="1"/>
  <c r="O55" i="1"/>
  <c r="R55" i="1" s="1"/>
  <c r="O45" i="1"/>
  <c r="R45" i="1" s="1"/>
  <c r="O64" i="1"/>
  <c r="R64" i="1" s="1"/>
  <c r="O27" i="1"/>
  <c r="R27" i="1" s="1"/>
  <c r="O37" i="1"/>
  <c r="R37" i="1" s="1"/>
  <c r="O40" i="1"/>
  <c r="R40" i="1" s="1"/>
  <c r="O59" i="1"/>
  <c r="R59" i="1" s="1"/>
  <c r="O25" i="1"/>
  <c r="R25" i="1" s="1"/>
  <c r="O35" i="1"/>
  <c r="R35" i="1" s="1"/>
  <c r="O62" i="1"/>
  <c r="R62" i="1" s="1"/>
  <c r="O47" i="1"/>
  <c r="R47" i="1" s="1"/>
  <c r="O56" i="1"/>
  <c r="R56" i="1" s="1"/>
  <c r="O30" i="1"/>
  <c r="R30" i="1" s="1"/>
  <c r="O23" i="1"/>
  <c r="O34" i="1"/>
  <c r="R34" i="1" s="1"/>
  <c r="O43" i="1"/>
  <c r="R43" i="1" s="1"/>
  <c r="O63" i="1"/>
  <c r="R63" i="1" s="1"/>
  <c r="O33" i="1"/>
  <c r="R33" i="1" s="1"/>
  <c r="O24" i="1"/>
  <c r="R24" i="1" s="1"/>
  <c r="O41" i="1"/>
  <c r="R41" i="1" s="1"/>
  <c r="O50" i="1"/>
  <c r="R50" i="1" s="1"/>
  <c r="O48" i="1"/>
  <c r="R48" i="1" s="1"/>
  <c r="O29" i="1"/>
  <c r="R29" i="1" s="1"/>
  <c r="C16" i="1"/>
  <c r="D18" i="1" s="1"/>
  <c r="C15" i="1"/>
  <c r="C18" i="1" s="1"/>
  <c r="O52" i="1"/>
  <c r="R52" i="1" s="1"/>
  <c r="O38" i="1"/>
  <c r="R38" i="1" s="1"/>
  <c r="O57" i="1"/>
  <c r="R57" i="1" s="1"/>
  <c r="O49" i="1"/>
  <c r="R49" i="1" s="1"/>
  <c r="O51" i="1"/>
  <c r="R51" i="1" s="1"/>
  <c r="O42" i="1"/>
  <c r="R42" i="1" s="1"/>
  <c r="O31" i="1"/>
  <c r="R31" i="1" s="1"/>
  <c r="O60" i="1"/>
  <c r="R60" i="1" s="1"/>
  <c r="O32" i="1"/>
  <c r="R32" i="1" s="1"/>
  <c r="O22" i="1"/>
  <c r="O54" i="1"/>
  <c r="R54" i="1" s="1"/>
  <c r="O58" i="1"/>
  <c r="R58" i="1" s="1"/>
  <c r="O46" i="1"/>
  <c r="R46" i="1" s="1"/>
  <c r="O26" i="1"/>
  <c r="R26" i="1" s="1"/>
  <c r="O21" i="1"/>
  <c r="O36" i="1"/>
  <c r="R36" i="1" s="1"/>
  <c r="O39" i="1"/>
  <c r="R39" i="1" s="1"/>
  <c r="O53" i="1"/>
  <c r="R53" i="1" s="1"/>
  <c r="O44" i="1"/>
  <c r="R44" i="1" s="1"/>
  <c r="O74" i="2"/>
  <c r="S74" i="2" s="1"/>
  <c r="O73" i="2"/>
  <c r="S73" i="2" s="1"/>
  <c r="C16" i="2"/>
  <c r="D18" i="2" s="1"/>
  <c r="O31" i="2"/>
  <c r="S31" i="2" s="1"/>
  <c r="O62" i="2"/>
  <c r="S62" i="2" s="1"/>
  <c r="O40" i="2"/>
  <c r="S40" i="2" s="1"/>
  <c r="O66" i="2"/>
  <c r="S66" i="2" s="1"/>
  <c r="O27" i="2"/>
  <c r="O52" i="2"/>
  <c r="S52" i="2" s="1"/>
  <c r="O57" i="2"/>
  <c r="S57" i="2" s="1"/>
  <c r="O32" i="2"/>
  <c r="S32" i="2" s="1"/>
  <c r="O30" i="2"/>
  <c r="S30" i="2" s="1"/>
  <c r="O60" i="2"/>
  <c r="S60" i="2" s="1"/>
  <c r="O21" i="2"/>
  <c r="O44" i="2"/>
  <c r="S44" i="2" s="1"/>
  <c r="O37" i="2"/>
  <c r="S37" i="2" s="1"/>
  <c r="O54" i="2"/>
  <c r="S54" i="2" s="1"/>
  <c r="O50" i="2"/>
  <c r="S50" i="2" s="1"/>
  <c r="O51" i="2"/>
  <c r="S51" i="2" s="1"/>
  <c r="O35" i="2"/>
  <c r="S35" i="2" s="1"/>
  <c r="O24" i="2"/>
  <c r="O72" i="2"/>
  <c r="S72" i="2" s="1"/>
  <c r="O64" i="2"/>
  <c r="S64" i="2" s="1"/>
  <c r="O67" i="2"/>
  <c r="S67" i="2" s="1"/>
  <c r="O26" i="2"/>
  <c r="O36" i="2"/>
  <c r="S36" i="2" s="1"/>
  <c r="O39" i="2"/>
  <c r="S39" i="2" s="1"/>
  <c r="O34" i="2"/>
  <c r="S34" i="2" s="1"/>
  <c r="O70" i="2"/>
  <c r="S70" i="2" s="1"/>
  <c r="O53" i="2"/>
  <c r="S53" i="2" s="1"/>
  <c r="O28" i="2"/>
  <c r="O33" i="2"/>
  <c r="S33" i="2" s="1"/>
  <c r="O55" i="2"/>
  <c r="S55" i="2" s="1"/>
  <c r="O69" i="2"/>
  <c r="S69" i="2" s="1"/>
  <c r="O47" i="2"/>
  <c r="S47" i="2" s="1"/>
  <c r="O58" i="2"/>
  <c r="S58" i="2" s="1"/>
  <c r="O61" i="2"/>
  <c r="S61" i="2" s="1"/>
  <c r="O25" i="2"/>
  <c r="O29" i="2"/>
  <c r="S29" i="2" s="1"/>
  <c r="O41" i="2"/>
  <c r="S41" i="2" s="1"/>
  <c r="C15" i="2"/>
  <c r="O48" i="2"/>
  <c r="S48" i="2" s="1"/>
  <c r="O45" i="2"/>
  <c r="S45" i="2" s="1"/>
  <c r="O38" i="2"/>
  <c r="S38" i="2" s="1"/>
  <c r="O22" i="2"/>
  <c r="O49" i="2"/>
  <c r="S49" i="2" s="1"/>
  <c r="O23" i="2"/>
  <c r="O42" i="2"/>
  <c r="S42" i="2" s="1"/>
  <c r="O65" i="2"/>
  <c r="S65" i="2" s="1"/>
  <c r="O43" i="2"/>
  <c r="S43" i="2" s="1"/>
  <c r="O46" i="2"/>
  <c r="S46" i="2" s="1"/>
  <c r="O71" i="2"/>
  <c r="S71" i="2" s="1"/>
  <c r="O59" i="2"/>
  <c r="S59" i="2" s="1"/>
  <c r="O56" i="2"/>
  <c r="S56" i="2" s="1"/>
  <c r="O68" i="2"/>
  <c r="S68" i="2" s="1"/>
  <c r="O63" i="2"/>
  <c r="S63" i="2" s="1"/>
  <c r="E16" i="1" l="1"/>
  <c r="E17" i="1" s="1"/>
  <c r="R16" i="1"/>
  <c r="R15" i="1"/>
  <c r="C18" i="2"/>
  <c r="F18" i="2"/>
  <c r="F19" i="2" s="1"/>
  <c r="S15" i="2"/>
  <c r="S16" i="2"/>
  <c r="R17" i="1" l="1"/>
  <c r="S17" i="2"/>
</calcChain>
</file>

<file path=xl/sharedStrings.xml><?xml version="1.0" encoding="utf-8"?>
<sst xmlns="http://schemas.openxmlformats.org/spreadsheetml/2006/main" count="609" uniqueCount="216">
  <si>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</si>
  <si>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</si>
  <si>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</si>
  <si>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</si>
  <si>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</si>
  <si>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</si>
  <si>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</si>
  <si>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</si>
  <si>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</si>
  <si>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</si>
  <si>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</si>
  <si>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</si>
  <si>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</si>
  <si>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</si>
  <si>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</si>
  <si>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</si>
  <si>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</si>
  <si>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</si>
  <si>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</si>
  <si>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</si>
  <si>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</si>
  <si>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</si>
  <si>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</si>
  <si>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</si>
  <si>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</si>
  <si>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</si>
  <si>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</si>
  <si>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</si>
  <si>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</si>
  <si>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</si>
  <si>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</si>
  <si>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ROTSE1 J191635.07+524853.6</t>
  </si>
  <si>
    <t>IBVS 4996</t>
  </si>
  <si>
    <t>not avail.</t>
  </si>
  <si>
    <t>VAR 2</t>
  </si>
  <si>
    <t>I</t>
  </si>
  <si>
    <t>II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</si>
  <si>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</si>
  <si>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</si>
  <si>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</si>
  <si>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</si>
  <si>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</si>
  <si>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</si>
  <si>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</si>
  <si>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</si>
  <si>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</si>
  <si>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</si>
  <si>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EW</t>
  </si>
  <si>
    <t>IBVS 6084</t>
  </si>
  <si>
    <t>Nelson</t>
  </si>
  <si>
    <t>IBVS 6092</t>
  </si>
  <si>
    <t>V2278 Cyg / GSC 3920-0882</t>
  </si>
  <si>
    <t>IBVS 6118</t>
  </si>
  <si>
    <t>IBVS 6149</t>
  </si>
  <si>
    <t>IBVS 6152</t>
  </si>
  <si>
    <t>OEJV 0168</t>
  </si>
  <si>
    <t>OEJV</t>
  </si>
  <si>
    <t>2015-12-17 New period by ToMcat</t>
  </si>
  <si>
    <t>diff2</t>
  </si>
  <si>
    <t>stdev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</si>
  <si>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</si>
  <si>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</si>
  <si>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</si>
  <si>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</si>
  <si>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</si>
  <si>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</si>
  <si>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</si>
  <si>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</si>
  <si>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</si>
  <si>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</si>
  <si>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</si>
  <si>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</si>
  <si>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2451806.3984 </t>
  </si>
  <si>
    <t> 18.09.2000 21:33 </t>
  </si>
  <si>
    <t> -0.0021 </t>
  </si>
  <si>
    <t>E </t>
  </si>
  <si>
    <t>?</t>
  </si>
  <si>
    <t> E.Blättler </t>
  </si>
  <si>
    <t> BBS 124 </t>
  </si>
  <si>
    <t>2451809.4747 </t>
  </si>
  <si>
    <t> 21.09.2000 23:23 </t>
  </si>
  <si>
    <t> -0.0037 </t>
  </si>
  <si>
    <t>2451811.4828 </t>
  </si>
  <si>
    <t> 23.09.2000 23:35 </t>
  </si>
  <si>
    <t> 0.0128 </t>
  </si>
  <si>
    <t>2451814.3624 </t>
  </si>
  <si>
    <t> 26.09.2000 20:41 </t>
  </si>
  <si>
    <t> -0.0044 </t>
  </si>
  <si>
    <t>2455710.4459 </t>
  </si>
  <si>
    <t> 28.05.2011 22:42 </t>
  </si>
  <si>
    <t> -0.0198 </t>
  </si>
  <si>
    <t>C </t>
  </si>
  <si>
    <t> G.Marino </t>
  </si>
  <si>
    <t>IBVS 5997 </t>
  </si>
  <si>
    <t>2456218.5211 </t>
  </si>
  <si>
    <t> 18.10.2012 00:30 </t>
  </si>
  <si>
    <t> 0.0182 </t>
  </si>
  <si>
    <t>o</t>
  </si>
  <si>
    <t> U.Schmidt </t>
  </si>
  <si>
    <t>BAVM 232 </t>
  </si>
  <si>
    <t>2456220.5145 </t>
  </si>
  <si>
    <t> 20.10.2012 00:20 </t>
  </si>
  <si>
    <t> 0.0200 </t>
  </si>
  <si>
    <t>2456221.3919 </t>
  </si>
  <si>
    <t> 20.10.2012 21:24 </t>
  </si>
  <si>
    <t> -0.0079 </t>
  </si>
  <si>
    <t>2456222.2764 </t>
  </si>
  <si>
    <t> 21.10.2012 18:38 </t>
  </si>
  <si>
    <t> -0.0287 </t>
  </si>
  <si>
    <t>2456225.3791 </t>
  </si>
  <si>
    <t> 24.10.2012 21:05 </t>
  </si>
  <si>
    <t> -0.0039 </t>
  </si>
  <si>
    <t>2456417.9421 </t>
  </si>
  <si>
    <t> 05.05.2013 10:36 </t>
  </si>
  <si>
    <t> 0.0988 </t>
  </si>
  <si>
    <t> R.Nelson </t>
  </si>
  <si>
    <t>IBVS 6092 </t>
  </si>
  <si>
    <t>2456480.5020 </t>
  </si>
  <si>
    <t> 07.07.2013 00:02 </t>
  </si>
  <si>
    <t> 0.0141 </t>
  </si>
  <si>
    <t>2456486.4751 </t>
  </si>
  <si>
    <t> 12.07.2013 23:24 </t>
  </si>
  <si>
    <t> 0.0124 </t>
  </si>
  <si>
    <t>2456505.4823 </t>
  </si>
  <si>
    <t> 31.07.2013 23:34 </t>
  </si>
  <si>
    <t> 0.0089 </t>
  </si>
  <si>
    <t>2456515.4075 </t>
  </si>
  <si>
    <t> 10.08.2013 21:46 </t>
  </si>
  <si>
    <t> -0.0238 </t>
  </si>
  <si>
    <t>BAVM 234 </t>
  </si>
  <si>
    <t>2456540.4233 </t>
  </si>
  <si>
    <t> 04.09.2013 22:09 </t>
  </si>
  <si>
    <t> 0.0065 </t>
  </si>
  <si>
    <t>2456560.3378 </t>
  </si>
  <si>
    <t> 24.09.2013 20:06 </t>
  </si>
  <si>
    <t> 0.0051 </t>
  </si>
  <si>
    <t>2456560.5472 </t>
  </si>
  <si>
    <t> 25.09.2013 01:07 </t>
  </si>
  <si>
    <t> 0.0334 </t>
  </si>
  <si>
    <t>2456568.5083 </t>
  </si>
  <si>
    <t> 03.10.2013 00:11 </t>
  </si>
  <si>
    <t> 0.0282 </t>
  </si>
  <si>
    <t>2456579.3358 </t>
  </si>
  <si>
    <t> 13.10.2013 20:03 </t>
  </si>
  <si>
    <t> -0.0076 </t>
  </si>
  <si>
    <t>2456596.3739 </t>
  </si>
  <si>
    <t> 30.10.2013 20:58 </t>
  </si>
  <si>
    <t> 0.0115 </t>
  </si>
  <si>
    <t>2456608.2982 </t>
  </si>
  <si>
    <t> 11.11.2013 19:09 </t>
  </si>
  <si>
    <t> -0.0138 </t>
  </si>
  <si>
    <t>2456623.3262 </t>
  </si>
  <si>
    <t> 26.11.2013 19:49 </t>
  </si>
  <si>
    <t> -0.0133 </t>
  </si>
  <si>
    <t>2456647.214 </t>
  </si>
  <si>
    <t> 20.12.2013 17:08 </t>
  </si>
  <si>
    <t> -0.025 </t>
  </si>
  <si>
    <t>2456675.2948 </t>
  </si>
  <si>
    <t> 17.01.2014 19:04 </t>
  </si>
  <si>
    <t> -0.0071 </t>
  </si>
  <si>
    <t>2456815.4613 </t>
  </si>
  <si>
    <t> 06.06.2014 23:04 </t>
  </si>
  <si>
    <t> 0.0236 </t>
  </si>
  <si>
    <t>BAVM 238 </t>
  </si>
  <si>
    <t>2456821.4305 </t>
  </si>
  <si>
    <t> 12.06.2014 22:19 </t>
  </si>
  <si>
    <t> 0.0181 </t>
  </si>
  <si>
    <t>2456830.4980 </t>
  </si>
  <si>
    <t> 21.06.2014 23:57 </t>
  </si>
  <si>
    <t> 0.0329 </t>
  </si>
  <si>
    <t>BAVM 239 </t>
  </si>
  <si>
    <t>2456855.4855 </t>
  </si>
  <si>
    <t> 16.07.2014 23:39 </t>
  </si>
  <si>
    <t> 0.0349 </t>
  </si>
  <si>
    <t>2456871.4085 </t>
  </si>
  <si>
    <t> 01.08.2014 21:48 </t>
  </si>
  <si>
    <t> 0.0252 </t>
  </si>
  <si>
    <t>2456921.3767 </t>
  </si>
  <si>
    <t> 20.09.2014 21:02 </t>
  </si>
  <si>
    <t> 0.0225 </t>
  </si>
  <si>
    <t>2456923.3705 </t>
  </si>
  <si>
    <t> 22.09.2014 20:53 </t>
  </si>
  <si>
    <t> 0.0247 </t>
  </si>
  <si>
    <t>2456931.3068 </t>
  </si>
  <si>
    <t> 30.09.2014 19:21 </t>
  </si>
  <si>
    <t> -0.0053 </t>
  </si>
  <si>
    <t>2456931.5525 </t>
  </si>
  <si>
    <t> 01.10.2014 01:15 </t>
  </si>
  <si>
    <t> 0.0593 </t>
  </si>
  <si>
    <t>2456933.3092 </t>
  </si>
  <si>
    <t> 02.10.2014 19:25 </t>
  </si>
  <si>
    <t> 0.0055 </t>
  </si>
  <si>
    <t>-I</t>
  </si>
  <si>
    <t> F.Agerer </t>
  </si>
  <si>
    <t>2456933.5323 </t>
  </si>
  <si>
    <t> 03.10.2014 00:46 </t>
  </si>
  <si>
    <t>12243</t>
  </si>
  <si>
    <t> 0.0475 </t>
  </si>
  <si>
    <t>2456935.2988 </t>
  </si>
  <si>
    <t> 04.10.2014 19:10 </t>
  </si>
  <si>
    <t>12248</t>
  </si>
  <si>
    <t> 0.0035 </t>
  </si>
  <si>
    <t>2456935.5047 </t>
  </si>
  <si>
    <t> 05.10.2014 00:06 </t>
  </si>
  <si>
    <t>12248.5</t>
  </si>
  <si>
    <t> 0.0283 </t>
  </si>
  <si>
    <t>2457215.4204 </t>
  </si>
  <si>
    <t> 11.07.2015 22:05 </t>
  </si>
  <si>
    <t>13021.5</t>
  </si>
  <si>
    <t> 0.0347 </t>
  </si>
  <si>
    <t>BAVM 241 (=IBVS 6157) </t>
  </si>
  <si>
    <t>IBVS 5997</t>
  </si>
  <si>
    <t>BAD?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</si>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</sst>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12"/>
      <name val="CourierNewPSMT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4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4" borderId="0" xfId="0" applyFont="1" applyFill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quotePrefix="1" applyFont="1" applyAlignme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8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42" applyFont="1" applyAlignment="1">
      <alignment horizontal="left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7488429888292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5560470700721"/>
          <c:y val="0.14545497589659059"/>
          <c:w val="0.81642640465605598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B-45C4-B5B3-73E15B6024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B-45C4-B5B3-73E15B6024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1.0487319999956526</c:v>
                </c:pt>
                <c:pt idx="9">
                  <c:v>1.05237599999964</c:v>
                </c:pt>
                <c:pt idx="10">
                  <c:v>1.0454400000016904</c:v>
                </c:pt>
                <c:pt idx="11">
                  <c:v>1.0456039999990026</c:v>
                </c:pt>
                <c:pt idx="12">
                  <c:v>1.0531279999995604</c:v>
                </c:pt>
                <c:pt idx="14">
                  <c:v>1.0450920000002952</c:v>
                </c:pt>
                <c:pt idx="15">
                  <c:v>1.0489240000024438</c:v>
                </c:pt>
                <c:pt idx="16">
                  <c:v>1.0429000000003725</c:v>
                </c:pt>
                <c:pt idx="18">
                  <c:v>1.0526280000049155</c:v>
                </c:pt>
                <c:pt idx="19">
                  <c:v>1.0695679999989807</c:v>
                </c:pt>
                <c:pt idx="20">
                  <c:v>1.0578840000016498</c:v>
                </c:pt>
                <c:pt idx="21">
                  <c:v>1.0599599999986822</c:v>
                </c:pt>
                <c:pt idx="22">
                  <c:v>1.0543440000037663</c:v>
                </c:pt>
                <c:pt idx="23">
                  <c:v>1.0689760000022943</c:v>
                </c:pt>
                <c:pt idx="24">
                  <c:v>1.0547399999995832</c:v>
                </c:pt>
                <c:pt idx="25">
                  <c:v>1.0490280000012717</c:v>
                </c:pt>
                <c:pt idx="26">
                  <c:v>1.0597560000023805</c:v>
                </c:pt>
                <c:pt idx="27">
                  <c:v>1.0628880000003846</c:v>
                </c:pt>
                <c:pt idx="28">
                  <c:v>1.0621319999991101</c:v>
                </c:pt>
                <c:pt idx="29">
                  <c:v>1.0620640000051935</c:v>
                </c:pt>
                <c:pt idx="30">
                  <c:v>1.0651199999992969</c:v>
                </c:pt>
                <c:pt idx="34">
                  <c:v>1.0701279999993858</c:v>
                </c:pt>
                <c:pt idx="38">
                  <c:v>1.0750799999950686</c:v>
                </c:pt>
                <c:pt idx="41">
                  <c:v>1.078295999999682</c:v>
                </c:pt>
                <c:pt idx="42">
                  <c:v>1.0823400000008405</c:v>
                </c:pt>
                <c:pt idx="43">
                  <c:v>1.0596159999986412</c:v>
                </c:pt>
                <c:pt idx="44">
                  <c:v>1.0842320000010659</c:v>
                </c:pt>
                <c:pt idx="45">
                  <c:v>1.0722600000008242</c:v>
                </c:pt>
                <c:pt idx="46">
                  <c:v>1.0742759999993723</c:v>
                </c:pt>
                <c:pt idx="47">
                  <c:v>1.0721039999989443</c:v>
                </c:pt>
                <c:pt idx="48">
                  <c:v>1.0569199999954435</c:v>
                </c:pt>
                <c:pt idx="49">
                  <c:v>1.0802760000005946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B-45C4-B5B3-73E15B6024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-4.4051999997464009E-2</c:v>
                </c:pt>
                <c:pt idx="1">
                  <c:v>0.10205200000200421</c:v>
                </c:pt>
                <c:pt idx="2">
                  <c:v>-6.0000000012223609E-3</c:v>
                </c:pt>
                <c:pt idx="3">
                  <c:v>0</c:v>
                </c:pt>
                <c:pt idx="4">
                  <c:v>-2.4876000003132503E-2</c:v>
                </c:pt>
                <c:pt idx="5">
                  <c:v>-6.5319999994244426E-3</c:v>
                </c:pt>
                <c:pt idx="6">
                  <c:v>-1.0240000046906061E-3</c:v>
                </c:pt>
                <c:pt idx="7">
                  <c:v>1.0245639999993728</c:v>
                </c:pt>
                <c:pt idx="13">
                  <c:v>1.0519639999984065</c:v>
                </c:pt>
                <c:pt idx="31">
                  <c:v>1.0632980000009411</c:v>
                </c:pt>
                <c:pt idx="32">
                  <c:v>1.0653779999993276</c:v>
                </c:pt>
                <c:pt idx="33">
                  <c:v>1.0651379999981145</c:v>
                </c:pt>
                <c:pt idx="35">
                  <c:v>1.0733779999936814</c:v>
                </c:pt>
                <c:pt idx="36">
                  <c:v>1.0710939999989932</c:v>
                </c:pt>
                <c:pt idx="37">
                  <c:v>1.0746540000036475</c:v>
                </c:pt>
                <c:pt idx="39">
                  <c:v>1.0679919999965932</c:v>
                </c:pt>
                <c:pt idx="40">
                  <c:v>1.0681919999988168</c:v>
                </c:pt>
                <c:pt idx="50">
                  <c:v>1.0860180000017863</c:v>
                </c:pt>
                <c:pt idx="51">
                  <c:v>1.1112760000032722</c:v>
                </c:pt>
                <c:pt idx="52">
                  <c:v>1.1733680000033928</c:v>
                </c:pt>
                <c:pt idx="53">
                  <c:v>1.1738840000034543</c:v>
                </c:pt>
                <c:pt idx="54">
                  <c:v>1.1873359999954118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B-45C4-B5B3-73E15B6024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B-45C4-B5B3-73E15B6024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B-45C4-B5B3-73E15B6024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B-45C4-B5B3-73E15B6024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0.84835148711403463</c:v>
                </c:pt>
                <c:pt idx="1">
                  <c:v>0.8496064487656888</c:v>
                </c:pt>
                <c:pt idx="2">
                  <c:v>0.8698949954674321</c:v>
                </c:pt>
                <c:pt idx="3">
                  <c:v>0.8698949954674321</c:v>
                </c:pt>
                <c:pt idx="4">
                  <c:v>0.87001700562800954</c:v>
                </c:pt>
                <c:pt idx="5">
                  <c:v>0.87009544073123801</c:v>
                </c:pt>
                <c:pt idx="6">
                  <c:v>0.87020873588034564</c:v>
                </c:pt>
                <c:pt idx="7">
                  <c:v>1.0237498079556517</c:v>
                </c:pt>
                <c:pt idx="8">
                  <c:v>1.0437769043133005</c:v>
                </c:pt>
                <c:pt idx="9">
                  <c:v>1.0438553394165289</c:v>
                </c:pt>
                <c:pt idx="10">
                  <c:v>1.0438901994624081</c:v>
                </c:pt>
                <c:pt idx="11">
                  <c:v>1.0439250595082874</c:v>
                </c:pt>
                <c:pt idx="12">
                  <c:v>1.0440470696688648</c:v>
                </c:pt>
                <c:pt idx="13">
                  <c:v>1.0516378446590791</c:v>
                </c:pt>
                <c:pt idx="14">
                  <c:v>1.0541041929050383</c:v>
                </c:pt>
                <c:pt idx="15">
                  <c:v>1.0543394982147234</c:v>
                </c:pt>
                <c:pt idx="16">
                  <c:v>1.0550889892011281</c:v>
                </c:pt>
                <c:pt idx="17">
                  <c:v>1.0554811647172699</c:v>
                </c:pt>
                <c:pt idx="18">
                  <c:v>1.0564659610133598</c:v>
                </c:pt>
                <c:pt idx="19">
                  <c:v>1.0572503120456438</c:v>
                </c:pt>
                <c:pt idx="20">
                  <c:v>1.0572590270571136</c:v>
                </c:pt>
                <c:pt idx="21">
                  <c:v>1.057572767470027</c:v>
                </c:pt>
                <c:pt idx="22">
                  <c:v>1.0579998030320483</c:v>
                </c:pt>
                <c:pt idx="23">
                  <c:v>1.0586708589152245</c:v>
                </c:pt>
                <c:pt idx="24">
                  <c:v>1.0591414695345949</c:v>
                </c:pt>
                <c:pt idx="25">
                  <c:v>1.0597340903145427</c:v>
                </c:pt>
                <c:pt idx="26">
                  <c:v>1.0606753115532834</c:v>
                </c:pt>
                <c:pt idx="27">
                  <c:v>1.0617821180099507</c:v>
                </c:pt>
                <c:pt idx="28">
                  <c:v>1.067307435281817</c:v>
                </c:pt>
                <c:pt idx="29">
                  <c:v>1.0675427405915023</c:v>
                </c:pt>
                <c:pt idx="30">
                  <c:v>1.0679000560617649</c:v>
                </c:pt>
                <c:pt idx="31">
                  <c:v>1.0684926768417127</c:v>
                </c:pt>
                <c:pt idx="32">
                  <c:v>1.0684926768417127</c:v>
                </c:pt>
                <c:pt idx="33">
                  <c:v>1.0688848523578547</c:v>
                </c:pt>
                <c:pt idx="34">
                  <c:v>1.0688848523578547</c:v>
                </c:pt>
                <c:pt idx="35">
                  <c:v>1.0688848523578547</c:v>
                </c:pt>
                <c:pt idx="36">
                  <c:v>1.0691985927707683</c:v>
                </c:pt>
                <c:pt idx="37">
                  <c:v>1.0691985927707683</c:v>
                </c:pt>
                <c:pt idx="38">
                  <c:v>1.0695123331836818</c:v>
                </c:pt>
                <c:pt idx="39">
                  <c:v>1.0697912135507162</c:v>
                </c:pt>
                <c:pt idx="40">
                  <c:v>1.0697912135507162</c:v>
                </c:pt>
                <c:pt idx="41">
                  <c:v>1.0714819257758614</c:v>
                </c:pt>
                <c:pt idx="42">
                  <c:v>1.0715603608790898</c:v>
                </c:pt>
                <c:pt idx="43">
                  <c:v>1.0718741012920032</c:v>
                </c:pt>
                <c:pt idx="44">
                  <c:v>1.071882816303473</c:v>
                </c:pt>
                <c:pt idx="45">
                  <c:v>1.0719525363952318</c:v>
                </c:pt>
                <c:pt idx="46">
                  <c:v>1.0719612514067016</c:v>
                </c:pt>
                <c:pt idx="47">
                  <c:v>1.0720309714984602</c:v>
                </c:pt>
                <c:pt idx="48">
                  <c:v>1.07203968650993</c:v>
                </c:pt>
                <c:pt idx="49">
                  <c:v>1.0830728910307232</c:v>
                </c:pt>
                <c:pt idx="50">
                  <c:v>1.0850076235770234</c:v>
                </c:pt>
                <c:pt idx="51">
                  <c:v>1.111178803020896</c:v>
                </c:pt>
                <c:pt idx="52">
                  <c:v>1.1729420893075173</c:v>
                </c:pt>
                <c:pt idx="53">
                  <c:v>1.1729508043189871</c:v>
                </c:pt>
                <c:pt idx="54">
                  <c:v>1.185561425915818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B-45C4-B5B3-73E15B6024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7">
                  <c:v>1.0193199999994249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B-45C4-B5B3-73E15B60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016"/>
        <c:axId val="1"/>
      </c:scatterChart>
      <c:valAx>
        <c:axId val="613238016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296697816154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21498449057504"/>
          <c:w val="0.7745583492884645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69135208581242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329009188644"/>
          <c:y val="0.14501531966242162"/>
          <c:w val="0.81832861667929235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A-45ED-99AD-E6A5ADE644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A-45ED-99AD-E6A5ADE644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1.0487319999956526</c:v>
                </c:pt>
                <c:pt idx="9">
                  <c:v>1.05237599999964</c:v>
                </c:pt>
                <c:pt idx="10">
                  <c:v>1.0454400000016904</c:v>
                </c:pt>
                <c:pt idx="11">
                  <c:v>1.0456039999990026</c:v>
                </c:pt>
                <c:pt idx="12">
                  <c:v>1.0531279999995604</c:v>
                </c:pt>
                <c:pt idx="14">
                  <c:v>1.0450920000002952</c:v>
                </c:pt>
                <c:pt idx="15">
                  <c:v>1.0489240000024438</c:v>
                </c:pt>
                <c:pt idx="16">
                  <c:v>1.0429000000003725</c:v>
                </c:pt>
                <c:pt idx="18">
                  <c:v>1.0526280000049155</c:v>
                </c:pt>
                <c:pt idx="19">
                  <c:v>1.0695679999989807</c:v>
                </c:pt>
                <c:pt idx="20">
                  <c:v>1.0578840000016498</c:v>
                </c:pt>
                <c:pt idx="21">
                  <c:v>1.0599599999986822</c:v>
                </c:pt>
                <c:pt idx="22">
                  <c:v>1.0543440000037663</c:v>
                </c:pt>
                <c:pt idx="23">
                  <c:v>1.0689760000022943</c:v>
                </c:pt>
                <c:pt idx="24">
                  <c:v>1.0547399999995832</c:v>
                </c:pt>
                <c:pt idx="25">
                  <c:v>1.0490280000012717</c:v>
                </c:pt>
                <c:pt idx="26">
                  <c:v>1.0597560000023805</c:v>
                </c:pt>
                <c:pt idx="27">
                  <c:v>1.0628880000003846</c:v>
                </c:pt>
                <c:pt idx="28">
                  <c:v>1.0621319999991101</c:v>
                </c:pt>
                <c:pt idx="29">
                  <c:v>1.0620640000051935</c:v>
                </c:pt>
                <c:pt idx="30">
                  <c:v>1.0651199999992969</c:v>
                </c:pt>
                <c:pt idx="34">
                  <c:v>1.0701279999993858</c:v>
                </c:pt>
                <c:pt idx="38">
                  <c:v>1.0750799999950686</c:v>
                </c:pt>
                <c:pt idx="41">
                  <c:v>1.078295999999682</c:v>
                </c:pt>
                <c:pt idx="42">
                  <c:v>1.0823400000008405</c:v>
                </c:pt>
                <c:pt idx="43">
                  <c:v>1.0596159999986412</c:v>
                </c:pt>
                <c:pt idx="44">
                  <c:v>1.0842320000010659</c:v>
                </c:pt>
                <c:pt idx="45">
                  <c:v>1.0722600000008242</c:v>
                </c:pt>
                <c:pt idx="46">
                  <c:v>1.0742759999993723</c:v>
                </c:pt>
                <c:pt idx="47">
                  <c:v>1.0721039999989443</c:v>
                </c:pt>
                <c:pt idx="48">
                  <c:v>1.0569199999954435</c:v>
                </c:pt>
                <c:pt idx="49">
                  <c:v>1.0802760000005946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3A-45ED-99AD-E6A5ADE644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-4.4051999997464009E-2</c:v>
                </c:pt>
                <c:pt idx="1">
                  <c:v>0.10205200000200421</c:v>
                </c:pt>
                <c:pt idx="2">
                  <c:v>-6.0000000012223609E-3</c:v>
                </c:pt>
                <c:pt idx="3">
                  <c:v>0</c:v>
                </c:pt>
                <c:pt idx="4">
                  <c:v>-2.4876000003132503E-2</c:v>
                </c:pt>
                <c:pt idx="5">
                  <c:v>-6.5319999994244426E-3</c:v>
                </c:pt>
                <c:pt idx="6">
                  <c:v>-1.0240000046906061E-3</c:v>
                </c:pt>
                <c:pt idx="7">
                  <c:v>1.0245639999993728</c:v>
                </c:pt>
                <c:pt idx="13">
                  <c:v>1.0519639999984065</c:v>
                </c:pt>
                <c:pt idx="31">
                  <c:v>1.0632980000009411</c:v>
                </c:pt>
                <c:pt idx="32">
                  <c:v>1.0653779999993276</c:v>
                </c:pt>
                <c:pt idx="33">
                  <c:v>1.0651379999981145</c:v>
                </c:pt>
                <c:pt idx="35">
                  <c:v>1.0733779999936814</c:v>
                </c:pt>
                <c:pt idx="36">
                  <c:v>1.0710939999989932</c:v>
                </c:pt>
                <c:pt idx="37">
                  <c:v>1.0746540000036475</c:v>
                </c:pt>
                <c:pt idx="39">
                  <c:v>1.0679919999965932</c:v>
                </c:pt>
                <c:pt idx="40">
                  <c:v>1.0681919999988168</c:v>
                </c:pt>
                <c:pt idx="50">
                  <c:v>1.0860180000017863</c:v>
                </c:pt>
                <c:pt idx="51">
                  <c:v>1.1112760000032722</c:v>
                </c:pt>
                <c:pt idx="52">
                  <c:v>1.1733680000033928</c:v>
                </c:pt>
                <c:pt idx="53">
                  <c:v>1.1738840000034543</c:v>
                </c:pt>
                <c:pt idx="54">
                  <c:v>1.1873359999954118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3A-45ED-99AD-E6A5ADE644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3A-45ED-99AD-E6A5ADE644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3A-45ED-99AD-E6A5ADE644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2.2000000000000001E-3</c:v>
                  </c:pt>
                  <c:pt idx="10">
                    <c:v>2.5000000000000001E-3</c:v>
                  </c:pt>
                  <c:pt idx="11">
                    <c:v>2.8E-3</c:v>
                  </c:pt>
                  <c:pt idx="12">
                    <c:v>2.8E-3</c:v>
                  </c:pt>
                  <c:pt idx="13">
                    <c:v>2.9999999999999997E-4</c:v>
                  </c:pt>
                  <c:pt idx="14">
                    <c:v>2.8E-3</c:v>
                  </c:pt>
                  <c:pt idx="15">
                    <c:v>2.5000000000000001E-3</c:v>
                  </c:pt>
                  <c:pt idx="16">
                    <c:v>2E-3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1.6999999999999999E-3</c:v>
                  </c:pt>
                  <c:pt idx="20">
                    <c:v>3.0000000000000001E-3</c:v>
                  </c:pt>
                  <c:pt idx="21">
                    <c:v>1.6999999999999999E-3</c:v>
                  </c:pt>
                  <c:pt idx="22">
                    <c:v>2.3999999999999998E-3</c:v>
                  </c:pt>
                  <c:pt idx="23">
                    <c:v>1.8E-3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1.9E-3</c:v>
                  </c:pt>
                  <c:pt idx="27">
                    <c:v>1.6999999999999999E-3</c:v>
                  </c:pt>
                  <c:pt idx="28">
                    <c:v>2.3E-3</c:v>
                  </c:pt>
                  <c:pt idx="29">
                    <c:v>2.8E-3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2.0000000000000001E-4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2.9999999999999997E-4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2.0999999999999999E-3</c:v>
                  </c:pt>
                  <c:pt idx="46">
                    <c:v>8.9999999999999993E-3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3A-45ED-99AD-E6A5ADE644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0.84835148711403463</c:v>
                </c:pt>
                <c:pt idx="1">
                  <c:v>0.8496064487656888</c:v>
                </c:pt>
                <c:pt idx="2">
                  <c:v>0.8698949954674321</c:v>
                </c:pt>
                <c:pt idx="3">
                  <c:v>0.8698949954674321</c:v>
                </c:pt>
                <c:pt idx="4">
                  <c:v>0.87001700562800954</c:v>
                </c:pt>
                <c:pt idx="5">
                  <c:v>0.87009544073123801</c:v>
                </c:pt>
                <c:pt idx="6">
                  <c:v>0.87020873588034564</c:v>
                </c:pt>
                <c:pt idx="7">
                  <c:v>1.0237498079556517</c:v>
                </c:pt>
                <c:pt idx="8">
                  <c:v>1.0437769043133005</c:v>
                </c:pt>
                <c:pt idx="9">
                  <c:v>1.0438553394165289</c:v>
                </c:pt>
                <c:pt idx="10">
                  <c:v>1.0438901994624081</c:v>
                </c:pt>
                <c:pt idx="11">
                  <c:v>1.0439250595082874</c:v>
                </c:pt>
                <c:pt idx="12">
                  <c:v>1.0440470696688648</c:v>
                </c:pt>
                <c:pt idx="13">
                  <c:v>1.0516378446590791</c:v>
                </c:pt>
                <c:pt idx="14">
                  <c:v>1.0541041929050383</c:v>
                </c:pt>
                <c:pt idx="15">
                  <c:v>1.0543394982147234</c:v>
                </c:pt>
                <c:pt idx="16">
                  <c:v>1.0550889892011281</c:v>
                </c:pt>
                <c:pt idx="17">
                  <c:v>1.0554811647172699</c:v>
                </c:pt>
                <c:pt idx="18">
                  <c:v>1.0564659610133598</c:v>
                </c:pt>
                <c:pt idx="19">
                  <c:v>1.0572503120456438</c:v>
                </c:pt>
                <c:pt idx="20">
                  <c:v>1.0572590270571136</c:v>
                </c:pt>
                <c:pt idx="21">
                  <c:v>1.057572767470027</c:v>
                </c:pt>
                <c:pt idx="22">
                  <c:v>1.0579998030320483</c:v>
                </c:pt>
                <c:pt idx="23">
                  <c:v>1.0586708589152245</c:v>
                </c:pt>
                <c:pt idx="24">
                  <c:v>1.0591414695345949</c:v>
                </c:pt>
                <c:pt idx="25">
                  <c:v>1.0597340903145427</c:v>
                </c:pt>
                <c:pt idx="26">
                  <c:v>1.0606753115532834</c:v>
                </c:pt>
                <c:pt idx="27">
                  <c:v>1.0617821180099507</c:v>
                </c:pt>
                <c:pt idx="28">
                  <c:v>1.067307435281817</c:v>
                </c:pt>
                <c:pt idx="29">
                  <c:v>1.0675427405915023</c:v>
                </c:pt>
                <c:pt idx="30">
                  <c:v>1.0679000560617649</c:v>
                </c:pt>
                <c:pt idx="31">
                  <c:v>1.0684926768417127</c:v>
                </c:pt>
                <c:pt idx="32">
                  <c:v>1.0684926768417127</c:v>
                </c:pt>
                <c:pt idx="33">
                  <c:v>1.0688848523578547</c:v>
                </c:pt>
                <c:pt idx="34">
                  <c:v>1.0688848523578547</c:v>
                </c:pt>
                <c:pt idx="35">
                  <c:v>1.0688848523578547</c:v>
                </c:pt>
                <c:pt idx="36">
                  <c:v>1.0691985927707683</c:v>
                </c:pt>
                <c:pt idx="37">
                  <c:v>1.0691985927707683</c:v>
                </c:pt>
                <c:pt idx="38">
                  <c:v>1.0695123331836818</c:v>
                </c:pt>
                <c:pt idx="39">
                  <c:v>1.0697912135507162</c:v>
                </c:pt>
                <c:pt idx="40">
                  <c:v>1.0697912135507162</c:v>
                </c:pt>
                <c:pt idx="41">
                  <c:v>1.0714819257758614</c:v>
                </c:pt>
                <c:pt idx="42">
                  <c:v>1.0715603608790898</c:v>
                </c:pt>
                <c:pt idx="43">
                  <c:v>1.0718741012920032</c:v>
                </c:pt>
                <c:pt idx="44">
                  <c:v>1.071882816303473</c:v>
                </c:pt>
                <c:pt idx="45">
                  <c:v>1.0719525363952318</c:v>
                </c:pt>
                <c:pt idx="46">
                  <c:v>1.0719612514067016</c:v>
                </c:pt>
                <c:pt idx="47">
                  <c:v>1.0720309714984602</c:v>
                </c:pt>
                <c:pt idx="48">
                  <c:v>1.07203968650993</c:v>
                </c:pt>
                <c:pt idx="49">
                  <c:v>1.0830728910307232</c:v>
                </c:pt>
                <c:pt idx="50">
                  <c:v>1.0850076235770234</c:v>
                </c:pt>
                <c:pt idx="51">
                  <c:v>1.111178803020896</c:v>
                </c:pt>
                <c:pt idx="52">
                  <c:v>1.1729420893075173</c:v>
                </c:pt>
                <c:pt idx="53">
                  <c:v>1.1729508043189871</c:v>
                </c:pt>
                <c:pt idx="54">
                  <c:v>1.185561425915818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3A-45ED-99AD-E6A5ADE644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-1236</c:v>
                </c:pt>
                <c:pt idx="1">
                  <c:v>-1164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11.5</c:v>
                </c:pt>
                <c:pt idx="6">
                  <c:v>18</c:v>
                </c:pt>
                <c:pt idx="7">
                  <c:v>8827</c:v>
                </c:pt>
                <c:pt idx="8">
                  <c:v>9976</c:v>
                </c:pt>
                <c:pt idx="9">
                  <c:v>9980.5</c:v>
                </c:pt>
                <c:pt idx="10">
                  <c:v>9982.5</c:v>
                </c:pt>
                <c:pt idx="11">
                  <c:v>9984.5</c:v>
                </c:pt>
                <c:pt idx="12">
                  <c:v>9991.5</c:v>
                </c:pt>
                <c:pt idx="13">
                  <c:v>10427</c:v>
                </c:pt>
                <c:pt idx="14">
                  <c:v>10568.5</c:v>
                </c:pt>
                <c:pt idx="15">
                  <c:v>10582</c:v>
                </c:pt>
                <c:pt idx="16">
                  <c:v>10625</c:v>
                </c:pt>
                <c:pt idx="17">
                  <c:v>10647.5</c:v>
                </c:pt>
                <c:pt idx="18">
                  <c:v>10704</c:v>
                </c:pt>
                <c:pt idx="19">
                  <c:v>10749</c:v>
                </c:pt>
                <c:pt idx="20">
                  <c:v>10749.5</c:v>
                </c:pt>
                <c:pt idx="21">
                  <c:v>10767.5</c:v>
                </c:pt>
                <c:pt idx="22">
                  <c:v>10792</c:v>
                </c:pt>
                <c:pt idx="23">
                  <c:v>10830.5</c:v>
                </c:pt>
                <c:pt idx="24">
                  <c:v>10857.5</c:v>
                </c:pt>
                <c:pt idx="25">
                  <c:v>10891.5</c:v>
                </c:pt>
                <c:pt idx="26">
                  <c:v>10945.5</c:v>
                </c:pt>
                <c:pt idx="27">
                  <c:v>11009</c:v>
                </c:pt>
                <c:pt idx="28">
                  <c:v>11326</c:v>
                </c:pt>
                <c:pt idx="29">
                  <c:v>11339.5</c:v>
                </c:pt>
                <c:pt idx="30">
                  <c:v>11360</c:v>
                </c:pt>
                <c:pt idx="31">
                  <c:v>11394</c:v>
                </c:pt>
                <c:pt idx="32">
                  <c:v>11394</c:v>
                </c:pt>
                <c:pt idx="33">
                  <c:v>11416.5</c:v>
                </c:pt>
                <c:pt idx="34">
                  <c:v>11416.5</c:v>
                </c:pt>
                <c:pt idx="35">
                  <c:v>11416.5</c:v>
                </c:pt>
                <c:pt idx="36">
                  <c:v>11434.5</c:v>
                </c:pt>
                <c:pt idx="37">
                  <c:v>11434.5</c:v>
                </c:pt>
                <c:pt idx="38">
                  <c:v>11452.5</c:v>
                </c:pt>
                <c:pt idx="39">
                  <c:v>11468.5</c:v>
                </c:pt>
                <c:pt idx="40">
                  <c:v>11468.5</c:v>
                </c:pt>
                <c:pt idx="41">
                  <c:v>11565.5</c:v>
                </c:pt>
                <c:pt idx="42">
                  <c:v>11570</c:v>
                </c:pt>
                <c:pt idx="43">
                  <c:v>11588</c:v>
                </c:pt>
                <c:pt idx="44">
                  <c:v>11588.5</c:v>
                </c:pt>
                <c:pt idx="45">
                  <c:v>11592.5</c:v>
                </c:pt>
                <c:pt idx="46">
                  <c:v>11593</c:v>
                </c:pt>
                <c:pt idx="47">
                  <c:v>11597</c:v>
                </c:pt>
                <c:pt idx="48">
                  <c:v>11597.5</c:v>
                </c:pt>
                <c:pt idx="49">
                  <c:v>12230.5</c:v>
                </c:pt>
                <c:pt idx="50">
                  <c:v>12341.5</c:v>
                </c:pt>
                <c:pt idx="51">
                  <c:v>13843</c:v>
                </c:pt>
                <c:pt idx="52">
                  <c:v>17386.5</c:v>
                </c:pt>
                <c:pt idx="53">
                  <c:v>17387</c:v>
                </c:pt>
                <c:pt idx="54">
                  <c:v>18110.5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7">
                  <c:v>1.0193199999994249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3A-45ED-99AD-E6A5ADE6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7959001105567"/>
          <c:y val="0.92145141978098655"/>
          <c:w val="0.7733125722628724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7027802865514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860681114551083"/>
          <c:w val="0.8158326306232256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-4.6673999997437932E-2</c:v>
                </c:pt>
                <c:pt idx="1">
                  <c:v>-8.4836000001814682E-2</c:v>
                </c:pt>
                <c:pt idx="2">
                  <c:v>0</c:v>
                </c:pt>
                <c:pt idx="3">
                  <c:v>0.90479599999525817</c:v>
                </c:pt>
                <c:pt idx="4">
                  <c:v>0.9082300000009127</c:v>
                </c:pt>
                <c:pt idx="5">
                  <c:v>0.88109999999869615</c:v>
                </c:pt>
                <c:pt idx="6">
                  <c:v>0.86106999999901745</c:v>
                </c:pt>
                <c:pt idx="7">
                  <c:v>0.88836799999990035</c:v>
                </c:pt>
                <c:pt idx="9">
                  <c:v>0.9338080000015907</c:v>
                </c:pt>
                <c:pt idx="10">
                  <c:v>0.9370100000014645</c:v>
                </c:pt>
                <c:pt idx="11">
                  <c:v>0.94908000000577886</c:v>
                </c:pt>
                <c:pt idx="12">
                  <c:v>0.92444999999861466</c:v>
                </c:pt>
                <c:pt idx="13">
                  <c:v>0.97522200000094017</c:v>
                </c:pt>
                <c:pt idx="14">
                  <c:v>0.99006200000440003</c:v>
                </c:pt>
                <c:pt idx="15">
                  <c:v>0.83765000000130385</c:v>
                </c:pt>
                <c:pt idx="16">
                  <c:v>0.8388859999977285</c:v>
                </c:pt>
                <c:pt idx="17">
                  <c:v>0.99293200000101933</c:v>
                </c:pt>
                <c:pt idx="18">
                  <c:v>0.84496199999557575</c:v>
                </c:pt>
                <c:pt idx="19">
                  <c:v>0.82946599999559112</c:v>
                </c:pt>
                <c:pt idx="20">
                  <c:v>0.84226800000033109</c:v>
                </c:pt>
                <c:pt idx="21">
                  <c:v>0.85047599999961676</c:v>
                </c:pt>
                <c:pt idx="22">
                  <c:v>0.89084600000205683</c:v>
                </c:pt>
                <c:pt idx="23">
                  <c:v>0.85519600000407081</c:v>
                </c:pt>
                <c:pt idx="24">
                  <c:v>0.8544980000006035</c:v>
                </c:pt>
                <c:pt idx="25">
                  <c:v>0.87669800000003306</c:v>
                </c:pt>
                <c:pt idx="26">
                  <c:v>0.89917000000423286</c:v>
                </c:pt>
                <c:pt idx="27">
                  <c:v>0.90244199999870034</c:v>
                </c:pt>
                <c:pt idx="28">
                  <c:v>0.9405860000042594</c:v>
                </c:pt>
                <c:pt idx="29">
                  <c:v>0.94441999999980908</c:v>
                </c:pt>
                <c:pt idx="30">
                  <c:v>0.92085599999700207</c:v>
                </c:pt>
                <c:pt idx="31">
                  <c:v>0.98564999999507563</c:v>
                </c:pt>
                <c:pt idx="32">
                  <c:v>0.93329000000085216</c:v>
                </c:pt>
                <c:pt idx="33">
                  <c:v>0.97548400000232505</c:v>
                </c:pt>
                <c:pt idx="34">
                  <c:v>0.93292400000063935</c:v>
                </c:pt>
                <c:pt idx="35">
                  <c:v>0.95791800000006333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8-4E11-9D52-6E94FEE4535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8">
                  <c:v>0.96738400000322144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8-4E11-9D52-6E94FEE4535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36">
                  <c:v>0.89338999999745283</c:v>
                </c:pt>
                <c:pt idx="37">
                  <c:v>0.89546999999583932</c:v>
                </c:pt>
                <c:pt idx="38">
                  <c:v>0.91470799999660812</c:v>
                </c:pt>
                <c:pt idx="39">
                  <c:v>0.91490799999883166</c:v>
                </c:pt>
                <c:pt idx="40">
                  <c:v>0.89418000000296161</c:v>
                </c:pt>
                <c:pt idx="41">
                  <c:v>0.90241999999852851</c:v>
                </c:pt>
                <c:pt idx="42">
                  <c:v>0.89929599999595666</c:v>
                </c:pt>
                <c:pt idx="43">
                  <c:v>0.90285600000061095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8-4E11-9D52-6E94FEE4535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8-4E11-9D52-6E94FEE4535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8-4E11-9D52-6E94FEE4535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58-4E11-9D52-6E94FEE4535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58-4E11-9D52-6E94FEE45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508902259592347"/>
          <c:y val="0.91950464396284826"/>
          <c:w val="0.7431347656664080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V2278 Cyg - O-C Diagr.</a:t>
            </a:r>
          </a:p>
        </c:rich>
      </c:tx>
      <c:layout>
        <c:manualLayout>
          <c:xMode val="edge"/>
          <c:yMode val="edge"/>
          <c:x val="0.35645161290322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14859468012961"/>
          <c:w val="0.81935483870967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-4.6673999997437932E-2</c:v>
                </c:pt>
                <c:pt idx="1">
                  <c:v>-8.4836000001814682E-2</c:v>
                </c:pt>
                <c:pt idx="2">
                  <c:v>0</c:v>
                </c:pt>
                <c:pt idx="3">
                  <c:v>0.90479599999525817</c:v>
                </c:pt>
                <c:pt idx="4">
                  <c:v>0.9082300000009127</c:v>
                </c:pt>
                <c:pt idx="5">
                  <c:v>0.88109999999869615</c:v>
                </c:pt>
                <c:pt idx="6">
                  <c:v>0.86106999999901745</c:v>
                </c:pt>
                <c:pt idx="7">
                  <c:v>0.88836799999990035</c:v>
                </c:pt>
                <c:pt idx="9">
                  <c:v>0.9338080000015907</c:v>
                </c:pt>
                <c:pt idx="10">
                  <c:v>0.9370100000014645</c:v>
                </c:pt>
                <c:pt idx="11">
                  <c:v>0.94908000000577886</c:v>
                </c:pt>
                <c:pt idx="12">
                  <c:v>0.92444999999861466</c:v>
                </c:pt>
                <c:pt idx="13">
                  <c:v>0.97522200000094017</c:v>
                </c:pt>
                <c:pt idx="14">
                  <c:v>0.99006200000440003</c:v>
                </c:pt>
                <c:pt idx="15">
                  <c:v>0.83765000000130385</c:v>
                </c:pt>
                <c:pt idx="16">
                  <c:v>0.8388859999977285</c:v>
                </c:pt>
                <c:pt idx="17">
                  <c:v>0.99293200000101933</c:v>
                </c:pt>
                <c:pt idx="18">
                  <c:v>0.84496199999557575</c:v>
                </c:pt>
                <c:pt idx="19">
                  <c:v>0.82946599999559112</c:v>
                </c:pt>
                <c:pt idx="20">
                  <c:v>0.84226800000033109</c:v>
                </c:pt>
                <c:pt idx="21">
                  <c:v>0.85047599999961676</c:v>
                </c:pt>
                <c:pt idx="22">
                  <c:v>0.89084600000205683</c:v>
                </c:pt>
                <c:pt idx="23">
                  <c:v>0.85519600000407081</c:v>
                </c:pt>
                <c:pt idx="24">
                  <c:v>0.8544980000006035</c:v>
                </c:pt>
                <c:pt idx="25">
                  <c:v>0.87669800000003306</c:v>
                </c:pt>
                <c:pt idx="26">
                  <c:v>0.89917000000423286</c:v>
                </c:pt>
                <c:pt idx="27">
                  <c:v>0.90244199999870034</c:v>
                </c:pt>
                <c:pt idx="28">
                  <c:v>0.9405860000042594</c:v>
                </c:pt>
                <c:pt idx="29">
                  <c:v>0.94441999999980908</c:v>
                </c:pt>
                <c:pt idx="30">
                  <c:v>0.92085599999700207</c:v>
                </c:pt>
                <c:pt idx="31">
                  <c:v>0.98564999999507563</c:v>
                </c:pt>
                <c:pt idx="32">
                  <c:v>0.93329000000085216</c:v>
                </c:pt>
                <c:pt idx="33">
                  <c:v>0.97548400000232505</c:v>
                </c:pt>
                <c:pt idx="34">
                  <c:v>0.93292400000063935</c:v>
                </c:pt>
                <c:pt idx="35">
                  <c:v>0.95791800000006333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F-46BF-A836-D388227A29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8">
                  <c:v>0.96738400000322144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F-46BF-A836-D388227A292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36">
                  <c:v>0.89338999999745283</c:v>
                </c:pt>
                <c:pt idx="37">
                  <c:v>0.89546999999583932</c:v>
                </c:pt>
                <c:pt idx="38">
                  <c:v>0.91470799999660812</c:v>
                </c:pt>
                <c:pt idx="39">
                  <c:v>0.91490799999883166</c:v>
                </c:pt>
                <c:pt idx="40">
                  <c:v>0.89418000000296161</c:v>
                </c:pt>
                <c:pt idx="41">
                  <c:v>0.90241999999852851</c:v>
                </c:pt>
                <c:pt idx="42">
                  <c:v>0.89929599999595666</c:v>
                </c:pt>
                <c:pt idx="43">
                  <c:v>0.90285600000061095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F-46BF-A836-D388227A292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F-46BF-A836-D388227A292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F-46BF-A836-D388227A29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F-46BF-A836-D388227A29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  <c:pt idx="23">
                    <c:v>2.3E-3</c:v>
                  </c:pt>
                  <c:pt idx="24">
                    <c:v>2.8E-3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8.9999999999999993E-3</c:v>
                  </c:pt>
                  <c:pt idx="34">
                    <c:v>2.9999999999999997E-4</c:v>
                  </c:pt>
                  <c:pt idx="35">
                    <c:v>5.0000000000000001E-4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5.0000000000000001E-4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5.9999999999999995E-4</c:v>
                  </c:pt>
                  <c:pt idx="42">
                    <c:v>4.0000000000000002E-4</c:v>
                  </c:pt>
                  <c:pt idx="4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F-46BF-A836-D388227A292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1E-4</c:v>
                  </c:pt>
                  <c:pt idx="1">
                    <c:v>1.5E-3</c:v>
                  </c:pt>
                  <c:pt idx="2">
                    <c:v>0</c:v>
                  </c:pt>
                  <c:pt idx="3">
                    <c:v>2.0999999999999999E-3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2.8E-3</c:v>
                  </c:pt>
                  <c:pt idx="8">
                    <c:v>2.9999999999999997E-4</c:v>
                  </c:pt>
                  <c:pt idx="9">
                    <c:v>2.8E-3</c:v>
                  </c:pt>
                  <c:pt idx="10">
                    <c:v>2.5000000000000001E-3</c:v>
                  </c:pt>
                  <c:pt idx="11">
                    <c:v>2E-3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1.6999999999999999E-3</c:v>
                  </c:pt>
                  <c:pt idx="15">
                    <c:v>3.0000000000000001E-3</c:v>
                  </c:pt>
                  <c:pt idx="16">
                    <c:v>1.6999999999999999E-3</c:v>
                  </c:pt>
                  <c:pt idx="17">
                    <c:v>2.3999999999999998E-3</c:v>
                  </c:pt>
                  <c:pt idx="18">
                    <c:v>1.8E-3</c:v>
                  </c:pt>
                  <c:pt idx="19">
                    <c:v>1.2999999999999999E-3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-1510.5</c:v>
                </c:pt>
                <c:pt idx="1">
                  <c:v>-1422</c:v>
                </c:pt>
                <c:pt idx="2">
                  <c:v>0</c:v>
                </c:pt>
                <c:pt idx="3">
                  <c:v>12192</c:v>
                </c:pt>
                <c:pt idx="4">
                  <c:v>12197.5</c:v>
                </c:pt>
                <c:pt idx="5">
                  <c:v>12200</c:v>
                </c:pt>
                <c:pt idx="6">
                  <c:v>12202.5</c:v>
                </c:pt>
                <c:pt idx="7">
                  <c:v>12211</c:v>
                </c:pt>
                <c:pt idx="8">
                  <c:v>12743</c:v>
                </c:pt>
                <c:pt idx="9">
                  <c:v>12916</c:v>
                </c:pt>
                <c:pt idx="10">
                  <c:v>12932.5</c:v>
                </c:pt>
                <c:pt idx="11">
                  <c:v>12985</c:v>
                </c:pt>
                <c:pt idx="12">
                  <c:v>13012.5</c:v>
                </c:pt>
                <c:pt idx="13">
                  <c:v>13081.5</c:v>
                </c:pt>
                <c:pt idx="14">
                  <c:v>13136.5</c:v>
                </c:pt>
                <c:pt idx="15">
                  <c:v>13137.5</c:v>
                </c:pt>
                <c:pt idx="16">
                  <c:v>13159.5</c:v>
                </c:pt>
                <c:pt idx="17">
                  <c:v>13189</c:v>
                </c:pt>
                <c:pt idx="18">
                  <c:v>13236.5</c:v>
                </c:pt>
                <c:pt idx="19">
                  <c:v>13269.5</c:v>
                </c:pt>
                <c:pt idx="20">
                  <c:v>13311</c:v>
                </c:pt>
                <c:pt idx="21">
                  <c:v>13377</c:v>
                </c:pt>
                <c:pt idx="22">
                  <c:v>13454.5</c:v>
                </c:pt>
                <c:pt idx="23">
                  <c:v>13842</c:v>
                </c:pt>
                <c:pt idx="24">
                  <c:v>13858.5</c:v>
                </c:pt>
                <c:pt idx="25">
                  <c:v>13883.5</c:v>
                </c:pt>
                <c:pt idx="26">
                  <c:v>13952.5</c:v>
                </c:pt>
                <c:pt idx="27">
                  <c:v>13996.5</c:v>
                </c:pt>
                <c:pt idx="28">
                  <c:v>14134.5</c:v>
                </c:pt>
                <c:pt idx="29">
                  <c:v>14140</c:v>
                </c:pt>
                <c:pt idx="30">
                  <c:v>14162</c:v>
                </c:pt>
                <c:pt idx="31">
                  <c:v>14162.5</c:v>
                </c:pt>
                <c:pt idx="32">
                  <c:v>14167.5</c:v>
                </c:pt>
                <c:pt idx="33">
                  <c:v>14168</c:v>
                </c:pt>
                <c:pt idx="34">
                  <c:v>14173</c:v>
                </c:pt>
                <c:pt idx="35">
                  <c:v>14173.5</c:v>
                </c:pt>
                <c:pt idx="36">
                  <c:v>13925</c:v>
                </c:pt>
                <c:pt idx="37">
                  <c:v>13925</c:v>
                </c:pt>
                <c:pt idx="38">
                  <c:v>14016</c:v>
                </c:pt>
                <c:pt idx="39">
                  <c:v>14016</c:v>
                </c:pt>
                <c:pt idx="40">
                  <c:v>13952.5</c:v>
                </c:pt>
                <c:pt idx="41">
                  <c:v>13952.5</c:v>
                </c:pt>
                <c:pt idx="42">
                  <c:v>13974.5</c:v>
                </c:pt>
                <c:pt idx="43">
                  <c:v>13974.5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-5.6253299048462393E-2</c:v>
                </c:pt>
                <c:pt idx="1">
                  <c:v>-5.0565950158655254E-2</c:v>
                </c:pt>
                <c:pt idx="2">
                  <c:v>4.0817215053839173E-2</c:v>
                </c:pt>
                <c:pt idx="3">
                  <c:v>0.82432182143269439</c:v>
                </c:pt>
                <c:pt idx="4">
                  <c:v>0.82467527249364281</c:v>
                </c:pt>
                <c:pt idx="5">
                  <c:v>0.82483593206680117</c:v>
                </c:pt>
                <c:pt idx="6">
                  <c:v>0.82499659163995964</c:v>
                </c:pt>
                <c:pt idx="7">
                  <c:v>0.82554283418869812</c:v>
                </c:pt>
                <c:pt idx="8">
                  <c:v>0.85973119135680431</c:v>
                </c:pt>
                <c:pt idx="9">
                  <c:v>0.87084883381936518</c:v>
                </c:pt>
                <c:pt idx="10">
                  <c:v>0.87190918700221065</c:v>
                </c:pt>
                <c:pt idx="11">
                  <c:v>0.87528303803853691</c:v>
                </c:pt>
                <c:pt idx="12">
                  <c:v>0.87705029334327922</c:v>
                </c:pt>
                <c:pt idx="13">
                  <c:v>0.88148449756245084</c:v>
                </c:pt>
                <c:pt idx="14">
                  <c:v>0.88501900817193557</c:v>
                </c:pt>
                <c:pt idx="15">
                  <c:v>0.88508327200119896</c:v>
                </c:pt>
                <c:pt idx="16">
                  <c:v>0.88649707624499274</c:v>
                </c:pt>
                <c:pt idx="17">
                  <c:v>0.88839285920826183</c:v>
                </c:pt>
                <c:pt idx="18">
                  <c:v>0.89144539109827137</c:v>
                </c:pt>
                <c:pt idx="19">
                  <c:v>0.89356609746396209</c:v>
                </c:pt>
                <c:pt idx="20">
                  <c:v>0.89623304637839141</c:v>
                </c:pt>
                <c:pt idx="21">
                  <c:v>0.90047445910977308</c:v>
                </c:pt>
                <c:pt idx="22">
                  <c:v>0.90545490587768329</c:v>
                </c:pt>
                <c:pt idx="23">
                  <c:v>0.93035713971723433</c:v>
                </c:pt>
                <c:pt idx="24">
                  <c:v>0.93141749290007969</c:v>
                </c:pt>
                <c:pt idx="25">
                  <c:v>0.93302408863166364</c:v>
                </c:pt>
                <c:pt idx="26">
                  <c:v>0.93745829285083526</c:v>
                </c:pt>
                <c:pt idx="27">
                  <c:v>0.94028590133842305</c:v>
                </c:pt>
                <c:pt idx="28">
                  <c:v>0.9491543097767664</c:v>
                </c:pt>
                <c:pt idx="29">
                  <c:v>0.94950776083771482</c:v>
                </c:pt>
                <c:pt idx="30">
                  <c:v>0.95092156508150871</c:v>
                </c:pt>
                <c:pt idx="31">
                  <c:v>0.95095369699614041</c:v>
                </c:pt>
                <c:pt idx="32">
                  <c:v>0.95127501614245724</c:v>
                </c:pt>
                <c:pt idx="33">
                  <c:v>0.95130714805708882</c:v>
                </c:pt>
                <c:pt idx="34">
                  <c:v>0.95162846720340566</c:v>
                </c:pt>
                <c:pt idx="35">
                  <c:v>0.95166059911803735</c:v>
                </c:pt>
                <c:pt idx="36">
                  <c:v>0.93569103754609295</c:v>
                </c:pt>
                <c:pt idx="37">
                  <c:v>0.93569103754609295</c:v>
                </c:pt>
                <c:pt idx="38">
                  <c:v>0.94153904600905847</c:v>
                </c:pt>
                <c:pt idx="39">
                  <c:v>0.94153904600905847</c:v>
                </c:pt>
                <c:pt idx="40">
                  <c:v>0.93745829285083526</c:v>
                </c:pt>
                <c:pt idx="41">
                  <c:v>0.93745829285083526</c:v>
                </c:pt>
                <c:pt idx="42">
                  <c:v>0.93887209709462915</c:v>
                </c:pt>
                <c:pt idx="43">
                  <c:v>0.93887209709462915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F-46BF-A836-D388227A2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504"/>
        <c:axId val="1"/>
      </c:scatterChart>
      <c:valAx>
        <c:axId val="61322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064516129032257"/>
          <c:y val="0.91975600272188196"/>
          <c:w val="0.91612903225806452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52230" name="Chart 3">
          <a:extLst>
            <a:ext uri="{FF2B5EF4-FFF2-40B4-BE49-F238E27FC236}">
              <a16:creationId xmlns:a16="http://schemas.microsoft.com/office/drawing/2014/main" id="{83415A8D-AE8A-76CE-67A5-265EC0B1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26</xdr:col>
      <xdr:colOff>66675</xdr:colOff>
      <xdr:row>18</xdr:row>
      <xdr:rowOff>66675</xdr:rowOff>
    </xdr:to>
    <xdr:graphicFrame macro="">
      <xdr:nvGraphicFramePr>
        <xdr:cNvPr id="52231" name="Chart 5">
          <a:extLst>
            <a:ext uri="{FF2B5EF4-FFF2-40B4-BE49-F238E27FC236}">
              <a16:creationId xmlns:a16="http://schemas.microsoft.com/office/drawing/2014/main" id="{4B8E9359-F123-B879-E3FF-EA54FED84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3F4A16B-7F97-C5D5-9557-5D0B60087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916635D-42CE-33E4-19B8-5400326C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www.bav-astro.de/sfs/BAVM_link.php?BAVMnr=234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6092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www.bav-astro.de/sfs/BAVM_link.php?BAVMnr=234" TargetMode="External"/><Relationship Id="rId25" Type="http://schemas.openxmlformats.org/officeDocument/2006/relationships/hyperlink" Target="http://www.bav-astro.de/sfs/BAVM_link.php?BAVMnr=239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32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997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bav-astro.de/sfs/BAVM_link.php?BAVMnr=239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32" TargetMode="External"/><Relationship Id="rId15" Type="http://schemas.openxmlformats.org/officeDocument/2006/relationships/hyperlink" Target="http://www.bav-astro.de/sfs/BAVM_link.php?BAVMnr=234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www.bav-astro.de/sfs/BAVM_link.php?BAVMnr=234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2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234" TargetMode="External"/><Relationship Id="rId22" Type="http://schemas.openxmlformats.org/officeDocument/2006/relationships/hyperlink" Target="http://www.bav-astro.de/sfs/BAVM_link.php?BAVMnr=238" TargetMode="External"/><Relationship Id="rId27" Type="http://schemas.openxmlformats.org/officeDocument/2006/relationships/hyperlink" Target="http://www.bav-astro.de/sfs/BAVM_link.php?BAVMnr=239" TargetMode="External"/><Relationship Id="rId30" Type="http://schemas.openxmlformats.org/officeDocument/2006/relationships/hyperlink" Target="http://www.bav-astro.de/sfs/BAVM_link.php?BAVMnr=239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1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G14" sqref="G14"/>
    </sheetView>
  </sheetViews>
  <sheetFormatPr defaultColWidth="10.28515625" defaultRowHeight="12.75"/>
  <cols>
    <col min="1" max="1" width="14.42578125" customWidth="1"/>
    <col min="2" max="2" width="5.140625" customWidth="1"/>
    <col min="3" max="3" width="14.7109375" customWidth="1"/>
    <col min="4" max="4" width="9.42578125" customWidth="1"/>
    <col min="5" max="5" width="11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2" customWidth="1"/>
  </cols>
  <sheetData>
    <row r="1" spans="1:19" ht="20.25">
      <c r="A1" s="1" t="s">
        <v>51</v>
      </c>
      <c r="Q1">
        <v>51806.404399999999</v>
      </c>
      <c r="S1">
        <v>0.36181200000000002</v>
      </c>
    </row>
    <row r="2" spans="1:19">
      <c r="A2" t="s">
        <v>25</v>
      </c>
      <c r="B2" t="s">
        <v>47</v>
      </c>
      <c r="C2" s="11" t="s">
        <v>31</v>
      </c>
    </row>
    <row r="3" spans="1:19" ht="13.5" thickBot="1">
      <c r="A3" t="s">
        <v>34</v>
      </c>
      <c r="F3">
        <v>2.5</v>
      </c>
    </row>
    <row r="4" spans="1:19" ht="14.25" thickTop="1" thickBot="1">
      <c r="A4" s="8" t="s">
        <v>1</v>
      </c>
      <c r="C4" s="13" t="s">
        <v>33</v>
      </c>
      <c r="D4" s="14" t="s">
        <v>33</v>
      </c>
    </row>
    <row r="5" spans="1:19" ht="13.5" thickTop="1">
      <c r="A5" s="15" t="s">
        <v>37</v>
      </c>
      <c r="B5" s="11"/>
      <c r="C5" s="16">
        <v>-9.5</v>
      </c>
      <c r="D5" s="11" t="s">
        <v>38</v>
      </c>
    </row>
    <row r="6" spans="1:19">
      <c r="A6" s="8" t="s">
        <v>2</v>
      </c>
    </row>
    <row r="7" spans="1:19">
      <c r="A7" t="s">
        <v>3</v>
      </c>
      <c r="C7">
        <v>51806.404399999999</v>
      </c>
      <c r="D7" s="12"/>
    </row>
    <row r="8" spans="1:19">
      <c r="A8" t="s">
        <v>4</v>
      </c>
      <c r="C8">
        <v>0.44216800000000001</v>
      </c>
      <c r="D8" s="42" t="s">
        <v>57</v>
      </c>
    </row>
    <row r="9" spans="1:19">
      <c r="A9" s="24" t="s">
        <v>46</v>
      </c>
      <c r="B9" s="25">
        <v>28</v>
      </c>
      <c r="C9" s="18" t="str">
        <f>"F"&amp;B9</f>
        <v>F28</v>
      </c>
      <c r="D9" s="19" t="str">
        <f>"G"&amp;B9</f>
        <v>G28</v>
      </c>
    </row>
    <row r="10" spans="1:19" ht="13.5" thickBot="1">
      <c r="C10" s="7" t="s">
        <v>20</v>
      </c>
      <c r="D10" s="7" t="s">
        <v>21</v>
      </c>
    </row>
    <row r="11" spans="1:19">
      <c r="A11" t="s">
        <v>16</v>
      </c>
      <c r="C11" s="17">
        <f ca="1">INTERCEPT(INDIRECT($D$9):G991,INDIRECT($C$9):F991)</f>
        <v>0.8698949954674321</v>
      </c>
      <c r="D11" s="6"/>
    </row>
    <row r="12" spans="1:19">
      <c r="A12" t="s">
        <v>17</v>
      </c>
      <c r="C12" s="17">
        <f ca="1">SLOPE(INDIRECT($D$9):G991,INDIRECT($C$9):F991)</f>
        <v>1.7430022939641974E-5</v>
      </c>
      <c r="D12" s="6"/>
    </row>
    <row r="13" spans="1:19">
      <c r="A13" t="s">
        <v>19</v>
      </c>
      <c r="C13" s="6" t="s">
        <v>14</v>
      </c>
    </row>
    <row r="14" spans="1:19">
      <c r="A14" t="s">
        <v>24</v>
      </c>
    </row>
    <row r="15" spans="1:19">
      <c r="A15" s="3" t="s">
        <v>18</v>
      </c>
      <c r="C15" s="28">
        <f ca="1">(C7+C11)+(C8+C12)*INT(MAX(F21:F3532))</f>
        <v>59815.252432710906</v>
      </c>
      <c r="E15" s="20" t="s">
        <v>39</v>
      </c>
      <c r="F15" s="16">
        <v>1</v>
      </c>
      <c r="S15">
        <f ca="1">SUM(S24:S64)</f>
        <v>2.6998905442405553E-3</v>
      </c>
    </row>
    <row r="16" spans="1:19">
      <c r="A16" s="8" t="s">
        <v>5</v>
      </c>
      <c r="C16" s="29">
        <f ca="1">+C8+C12</f>
        <v>0.44218543002293964</v>
      </c>
      <c r="E16" s="20" t="s">
        <v>40</v>
      </c>
      <c r="F16" s="21">
        <f ca="1">NOW()+15018.5+$C$5/24</f>
        <v>60346.680605208334</v>
      </c>
      <c r="S16">
        <f ca="1">COUNT(S24:S64)</f>
        <v>36</v>
      </c>
    </row>
    <row r="17" spans="1:21" ht="13.5" thickBot="1">
      <c r="A17" s="20" t="s">
        <v>43</v>
      </c>
      <c r="B17" s="11"/>
      <c r="C17" s="11">
        <f>COUNT(C21:C2190)</f>
        <v>55</v>
      </c>
      <c r="E17" s="20" t="s">
        <v>41</v>
      </c>
      <c r="F17" s="21">
        <f ca="1">ROUND(2*(F16-$C$7)/$C$8,0)/2+F15</f>
        <v>19315.5</v>
      </c>
      <c r="Q17" t="s">
        <v>59</v>
      </c>
      <c r="S17">
        <f ca="1">SQRT(S15/(S16-1))</f>
        <v>8.7829226249264217E-3</v>
      </c>
    </row>
    <row r="18" spans="1:21" ht="14.25" thickTop="1" thickBot="1">
      <c r="A18" s="8" t="s">
        <v>6</v>
      </c>
      <c r="C18" s="4">
        <f ca="1">+C15</f>
        <v>59815.252432710906</v>
      </c>
      <c r="D18" s="5">
        <f ca="1">+C16</f>
        <v>0.44218543002293964</v>
      </c>
      <c r="E18" s="20" t="s">
        <v>42</v>
      </c>
      <c r="F18" s="19">
        <f ca="1">ROUND(2*(F16-$C$15)/$C$16,0)/2+F15</f>
        <v>1203</v>
      </c>
    </row>
    <row r="19" spans="1:21" ht="13.5" thickTop="1">
      <c r="E19" s="20" t="s">
        <v>44</v>
      </c>
      <c r="F19" s="22">
        <f ca="1">+$C$15+$C$16*F18-15018.5-$C$5/24</f>
        <v>45329.09733836184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  <c r="R20" s="6"/>
      <c r="S20" s="43" t="s">
        <v>58</v>
      </c>
      <c r="U20" s="60" t="s">
        <v>212</v>
      </c>
    </row>
    <row r="21" spans="1:21">
      <c r="A21" t="s">
        <v>32</v>
      </c>
      <c r="B21" s="6" t="s">
        <v>35</v>
      </c>
      <c r="C21" s="26">
        <v>51259.840700000001</v>
      </c>
      <c r="D21" s="26">
        <v>1E-4</v>
      </c>
      <c r="E21">
        <f t="shared" ref="E21:E52" si="0">+(C21-C$7)/C$8</f>
        <v>-1236.0996272909817</v>
      </c>
      <c r="F21">
        <f t="shared" ref="F21:F27" si="1">ROUND(2*E21,0)/2</f>
        <v>-1236</v>
      </c>
      <c r="G21">
        <f t="shared" ref="G21:G37" si="2">+C21-(C$7+F21*C$8)</f>
        <v>-4.4051999997464009E-2</v>
      </c>
      <c r="K21">
        <f t="shared" ref="K21:K28" si="3">+G21</f>
        <v>-4.4051999997464009E-2</v>
      </c>
      <c r="O21">
        <f t="shared" ref="O21:O52" ca="1" si="4">+C$11+C$12*$F21</f>
        <v>0.84835148711403463</v>
      </c>
      <c r="Q21" s="2">
        <f t="shared" ref="Q21:Q52" si="5">+C21-15018.5</f>
        <v>36241.340700000001</v>
      </c>
      <c r="R21" s="2"/>
    </row>
    <row r="22" spans="1:21">
      <c r="A22" t="s">
        <v>32</v>
      </c>
      <c r="B22" s="6" t="s">
        <v>36</v>
      </c>
      <c r="C22" s="26">
        <v>51291.822899999999</v>
      </c>
      <c r="D22" s="26">
        <v>1.5E-3</v>
      </c>
      <c r="E22">
        <f t="shared" si="0"/>
        <v>-1163.7692008467375</v>
      </c>
      <c r="F22">
        <f t="shared" si="1"/>
        <v>-1164</v>
      </c>
      <c r="G22">
        <f t="shared" si="2"/>
        <v>0.10205200000200421</v>
      </c>
      <c r="K22">
        <f t="shared" si="3"/>
        <v>0.10205200000200421</v>
      </c>
      <c r="O22">
        <f t="shared" ca="1" si="4"/>
        <v>0.8496064487656888</v>
      </c>
      <c r="Q22" s="2">
        <f t="shared" si="5"/>
        <v>36273.322899999999</v>
      </c>
      <c r="R22" s="2"/>
    </row>
    <row r="23" spans="1:21">
      <c r="A23" s="58" t="s">
        <v>78</v>
      </c>
      <c r="B23" s="59" t="s">
        <v>35</v>
      </c>
      <c r="C23" s="58">
        <v>51806.398399999998</v>
      </c>
      <c r="D23" s="58" t="s">
        <v>71</v>
      </c>
      <c r="E23">
        <f t="shared" si="0"/>
        <v>-1.3569502997101466E-2</v>
      </c>
      <c r="F23">
        <f t="shared" si="1"/>
        <v>0</v>
      </c>
      <c r="G23">
        <f t="shared" si="2"/>
        <v>-6.0000000012223609E-3</v>
      </c>
      <c r="K23">
        <f t="shared" si="3"/>
        <v>-6.0000000012223609E-3</v>
      </c>
      <c r="O23">
        <f t="shared" ca="1" si="4"/>
        <v>0.8698949954674321</v>
      </c>
      <c r="Q23" s="2">
        <f t="shared" si="5"/>
        <v>36787.898399999998</v>
      </c>
      <c r="R23" s="2"/>
    </row>
    <row r="24" spans="1:21">
      <c r="A24" t="s">
        <v>32</v>
      </c>
      <c r="B24" s="6"/>
      <c r="C24" s="26">
        <v>51806.404399999999</v>
      </c>
      <c r="D24" s="26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0.8698949954674321</v>
      </c>
      <c r="Q24" s="2">
        <f t="shared" si="5"/>
        <v>36787.904399999999</v>
      </c>
      <c r="R24" s="2"/>
    </row>
    <row r="25" spans="1:21">
      <c r="A25" s="58" t="s">
        <v>78</v>
      </c>
      <c r="B25" s="59" t="s">
        <v>36</v>
      </c>
      <c r="C25" s="58">
        <v>51809.474699999999</v>
      </c>
      <c r="D25" s="58" t="s">
        <v>71</v>
      </c>
      <c r="E25">
        <f t="shared" si="0"/>
        <v>6.9437408405841357</v>
      </c>
      <c r="F25">
        <f t="shared" si="1"/>
        <v>7</v>
      </c>
      <c r="G25">
        <f t="shared" si="2"/>
        <v>-2.4876000003132503E-2</v>
      </c>
      <c r="K25">
        <f t="shared" si="3"/>
        <v>-2.4876000003132503E-2</v>
      </c>
      <c r="O25">
        <f t="shared" ca="1" si="4"/>
        <v>0.87001700562800954</v>
      </c>
      <c r="Q25" s="2">
        <f t="shared" si="5"/>
        <v>36790.974699999999</v>
      </c>
      <c r="R25" s="2"/>
    </row>
    <row r="26" spans="1:21">
      <c r="A26" s="58" t="s">
        <v>78</v>
      </c>
      <c r="B26" s="59" t="s">
        <v>35</v>
      </c>
      <c r="C26" s="58">
        <v>51811.482799999998</v>
      </c>
      <c r="D26" s="58" t="s">
        <v>71</v>
      </c>
      <c r="E26">
        <f t="shared" si="0"/>
        <v>11.485227334403461</v>
      </c>
      <c r="F26">
        <f t="shared" si="1"/>
        <v>11.5</v>
      </c>
      <c r="G26">
        <f t="shared" si="2"/>
        <v>-6.5319999994244426E-3</v>
      </c>
      <c r="K26">
        <f t="shared" si="3"/>
        <v>-6.5319999994244426E-3</v>
      </c>
      <c r="O26">
        <f t="shared" ca="1" si="4"/>
        <v>0.87009544073123801</v>
      </c>
      <c r="Q26" s="2">
        <f t="shared" si="5"/>
        <v>36792.982799999998</v>
      </c>
      <c r="R26" s="2"/>
    </row>
    <row r="27" spans="1:21">
      <c r="A27" s="58" t="s">
        <v>78</v>
      </c>
      <c r="B27" s="59" t="s">
        <v>35</v>
      </c>
      <c r="C27" s="58">
        <v>51814.362399999998</v>
      </c>
      <c r="D27" s="58" t="s">
        <v>71</v>
      </c>
      <c r="E27">
        <f t="shared" si="0"/>
        <v>17.997684138152735</v>
      </c>
      <c r="F27">
        <f t="shared" si="1"/>
        <v>18</v>
      </c>
      <c r="G27">
        <f t="shared" si="2"/>
        <v>-1.0240000046906061E-3</v>
      </c>
      <c r="K27">
        <f t="shared" si="3"/>
        <v>-1.0240000046906061E-3</v>
      </c>
      <c r="O27">
        <f t="shared" ca="1" si="4"/>
        <v>0.87020873588034564</v>
      </c>
      <c r="Q27" s="2">
        <f t="shared" si="5"/>
        <v>36795.862399999998</v>
      </c>
      <c r="R27" s="2"/>
    </row>
    <row r="28" spans="1:21">
      <c r="A28" s="58" t="s">
        <v>211</v>
      </c>
      <c r="B28" s="59" t="s">
        <v>36</v>
      </c>
      <c r="C28" s="58">
        <v>55710.445899999999</v>
      </c>
      <c r="D28" s="58" t="s">
        <v>71</v>
      </c>
      <c r="E28">
        <f t="shared" si="0"/>
        <v>8829.3171373776458</v>
      </c>
      <c r="F28" s="27">
        <f t="shared" ref="F28:F72" si="6">ROUND(2*E28,0)/2-F$3</f>
        <v>8827</v>
      </c>
      <c r="G28">
        <f t="shared" si="2"/>
        <v>1.0245639999993728</v>
      </c>
      <c r="K28">
        <f t="shared" si="3"/>
        <v>1.0245639999993728</v>
      </c>
      <c r="O28">
        <f t="shared" ca="1" si="4"/>
        <v>1.0237498079556517</v>
      </c>
      <c r="Q28" s="2">
        <f t="shared" si="5"/>
        <v>40691.945899999999</v>
      </c>
      <c r="R28" s="2"/>
    </row>
    <row r="29" spans="1:21">
      <c r="A29" s="30" t="s">
        <v>48</v>
      </c>
      <c r="B29" s="31" t="s">
        <v>35</v>
      </c>
      <c r="C29" s="30">
        <v>56218.521099999998</v>
      </c>
      <c r="D29" s="30">
        <v>2.0999999999999999E-3</v>
      </c>
      <c r="E29" s="32">
        <f t="shared" si="0"/>
        <v>9978.3717953357063</v>
      </c>
      <c r="F29" s="27">
        <f t="shared" si="6"/>
        <v>9976</v>
      </c>
      <c r="G29">
        <f t="shared" si="2"/>
        <v>1.0487319999956526</v>
      </c>
      <c r="J29">
        <f>+G29</f>
        <v>1.0487319999956526</v>
      </c>
      <c r="O29">
        <f t="shared" ca="1" si="4"/>
        <v>1.0437769043133005</v>
      </c>
      <c r="Q29" s="2">
        <f t="shared" si="5"/>
        <v>41200.021099999998</v>
      </c>
      <c r="R29" s="2"/>
      <c r="S29">
        <f t="shared" ref="S29:S37" ca="1" si="7">(G29-O29)^2</f>
        <v>2.4552973221264267E-5</v>
      </c>
    </row>
    <row r="30" spans="1:21">
      <c r="A30" s="30" t="s">
        <v>48</v>
      </c>
      <c r="B30" s="31" t="s">
        <v>35</v>
      </c>
      <c r="C30" s="30">
        <v>56220.514499999997</v>
      </c>
      <c r="D30" s="30">
        <v>2.2000000000000001E-3</v>
      </c>
      <c r="E30" s="32">
        <f t="shared" si="0"/>
        <v>9982.8800365471907</v>
      </c>
      <c r="F30" s="27">
        <f t="shared" si="6"/>
        <v>9980.5</v>
      </c>
      <c r="G30">
        <f t="shared" si="2"/>
        <v>1.05237599999964</v>
      </c>
      <c r="J30">
        <f>+G30</f>
        <v>1.05237599999964</v>
      </c>
      <c r="O30">
        <f t="shared" ca="1" si="4"/>
        <v>1.0438553394165289</v>
      </c>
      <c r="Q30" s="2">
        <f t="shared" si="5"/>
        <v>41202.014499999997</v>
      </c>
      <c r="R30" s="2"/>
      <c r="S30">
        <f t="shared" ca="1" si="7"/>
        <v>7.2601656772584619E-5</v>
      </c>
    </row>
    <row r="31" spans="1:21">
      <c r="A31" s="30" t="s">
        <v>48</v>
      </c>
      <c r="B31" s="31" t="s">
        <v>35</v>
      </c>
      <c r="C31" s="30">
        <v>56221.391900000002</v>
      </c>
      <c r="D31" s="30">
        <v>2.5000000000000001E-3</v>
      </c>
      <c r="E31" s="32">
        <f t="shared" si="0"/>
        <v>9984.8643502017403</v>
      </c>
      <c r="F31" s="27">
        <f t="shared" si="6"/>
        <v>9982.5</v>
      </c>
      <c r="G31">
        <f t="shared" si="2"/>
        <v>1.0454400000016904</v>
      </c>
      <c r="J31">
        <f>+G31</f>
        <v>1.0454400000016904</v>
      </c>
      <c r="O31">
        <f t="shared" ca="1" si="4"/>
        <v>1.0438901994624081</v>
      </c>
      <c r="Q31" s="2">
        <f t="shared" si="5"/>
        <v>41202.891900000002</v>
      </c>
      <c r="R31" s="2"/>
      <c r="S31">
        <f t="shared" ca="1" si="7"/>
        <v>2.4018817115594603E-6</v>
      </c>
    </row>
    <row r="32" spans="1:21">
      <c r="A32" s="30" t="s">
        <v>48</v>
      </c>
      <c r="B32" s="31" t="s">
        <v>35</v>
      </c>
      <c r="C32" s="30">
        <v>56222.276400000002</v>
      </c>
      <c r="D32" s="30">
        <v>2.8E-3</v>
      </c>
      <c r="E32" s="32">
        <f t="shared" si="0"/>
        <v>9986.8647211014886</v>
      </c>
      <c r="F32" s="27">
        <f t="shared" si="6"/>
        <v>9984.5</v>
      </c>
      <c r="G32">
        <f t="shared" si="2"/>
        <v>1.0456039999990026</v>
      </c>
      <c r="J32">
        <f>+G32</f>
        <v>1.0456039999990026</v>
      </c>
      <c r="O32">
        <f t="shared" ca="1" si="4"/>
        <v>1.0439250595082874</v>
      </c>
      <c r="Q32" s="2">
        <f t="shared" si="5"/>
        <v>41203.776400000002</v>
      </c>
      <c r="R32" s="2"/>
      <c r="S32">
        <f t="shared" ca="1" si="7"/>
        <v>2.8188411713628384E-6</v>
      </c>
    </row>
    <row r="33" spans="1:21">
      <c r="A33" s="30" t="s">
        <v>48</v>
      </c>
      <c r="B33" s="31" t="s">
        <v>35</v>
      </c>
      <c r="C33" s="30">
        <v>56225.379099999998</v>
      </c>
      <c r="D33" s="30">
        <v>2.8E-3</v>
      </c>
      <c r="E33" s="32">
        <f t="shared" si="0"/>
        <v>9993.8817372582344</v>
      </c>
      <c r="F33" s="27">
        <f t="shared" si="6"/>
        <v>9991.5</v>
      </c>
      <c r="G33">
        <f t="shared" si="2"/>
        <v>1.0531279999995604</v>
      </c>
      <c r="J33">
        <f>+G33</f>
        <v>1.0531279999995604</v>
      </c>
      <c r="O33">
        <f t="shared" ca="1" si="4"/>
        <v>1.0440470696688648</v>
      </c>
      <c r="Q33" s="2">
        <f t="shared" si="5"/>
        <v>41206.879099999998</v>
      </c>
      <c r="R33" s="2"/>
      <c r="S33">
        <f t="shared" ca="1" si="7"/>
        <v>8.2463295670946737E-5</v>
      </c>
    </row>
    <row r="34" spans="1:21">
      <c r="A34" s="33" t="s">
        <v>50</v>
      </c>
      <c r="B34" s="32"/>
      <c r="C34" s="30">
        <v>56417.9421</v>
      </c>
      <c r="D34" s="30">
        <v>2.9999999999999997E-4</v>
      </c>
      <c r="E34" s="32">
        <f t="shared" si="0"/>
        <v>10429.379104774658</v>
      </c>
      <c r="F34" s="27">
        <f t="shared" si="6"/>
        <v>10427</v>
      </c>
      <c r="G34">
        <f t="shared" si="2"/>
        <v>1.0519639999984065</v>
      </c>
      <c r="K34">
        <f>+G34</f>
        <v>1.0519639999984065</v>
      </c>
      <c r="O34">
        <f t="shared" ca="1" si="4"/>
        <v>1.0516378446590791</v>
      </c>
      <c r="Q34" s="2">
        <f t="shared" si="5"/>
        <v>41399.4421</v>
      </c>
      <c r="R34" s="2"/>
      <c r="S34">
        <f t="shared" ca="1" si="7"/>
        <v>1.0637730537180384E-7</v>
      </c>
    </row>
    <row r="35" spans="1:21">
      <c r="A35" s="30" t="s">
        <v>48</v>
      </c>
      <c r="B35" s="31" t="s">
        <v>35</v>
      </c>
      <c r="C35" s="30">
        <v>56480.502</v>
      </c>
      <c r="D35" s="30">
        <v>2.8E-3</v>
      </c>
      <c r="E35" s="32">
        <f t="shared" si="0"/>
        <v>10570.863563170562</v>
      </c>
      <c r="F35" s="27">
        <f t="shared" si="6"/>
        <v>10568.5</v>
      </c>
      <c r="G35">
        <f t="shared" si="2"/>
        <v>1.0450920000002952</v>
      </c>
      <c r="J35">
        <f>+G35</f>
        <v>1.0450920000002952</v>
      </c>
      <c r="O35">
        <f t="shared" ca="1" si="4"/>
        <v>1.0541041929050383</v>
      </c>
      <c r="Q35" s="2">
        <f t="shared" si="5"/>
        <v>41462.002</v>
      </c>
      <c r="R35" s="2"/>
      <c r="S35">
        <f t="shared" ca="1" si="7"/>
        <v>8.1219620952301659E-5</v>
      </c>
    </row>
    <row r="36" spans="1:21">
      <c r="A36" s="30" t="s">
        <v>48</v>
      </c>
      <c r="B36" s="31" t="s">
        <v>35</v>
      </c>
      <c r="C36" s="30">
        <v>56486.475100000003</v>
      </c>
      <c r="D36" s="30">
        <v>2.5000000000000001E-3</v>
      </c>
      <c r="E36" s="32">
        <f t="shared" si="0"/>
        <v>10584.372229559815</v>
      </c>
      <c r="F36" s="27">
        <f t="shared" si="6"/>
        <v>10582</v>
      </c>
      <c r="G36">
        <f t="shared" si="2"/>
        <v>1.0489240000024438</v>
      </c>
      <c r="J36">
        <f>+G36</f>
        <v>1.0489240000024438</v>
      </c>
      <c r="O36">
        <f t="shared" ca="1" si="4"/>
        <v>1.0543394982147234</v>
      </c>
      <c r="Q36" s="2">
        <f t="shared" si="5"/>
        <v>41467.975100000003</v>
      </c>
      <c r="R36" s="2"/>
      <c r="S36">
        <f t="shared" ca="1" si="7"/>
        <v>2.9327620887203558E-5</v>
      </c>
    </row>
    <row r="37" spans="1:21">
      <c r="A37" s="30" t="s">
        <v>48</v>
      </c>
      <c r="B37" s="31" t="s">
        <v>35</v>
      </c>
      <c r="C37" s="30">
        <v>56505.482300000003</v>
      </c>
      <c r="D37" s="30">
        <v>2E-3</v>
      </c>
      <c r="E37" s="32">
        <f t="shared" si="0"/>
        <v>10627.358605778807</v>
      </c>
      <c r="F37" s="27">
        <f t="shared" si="6"/>
        <v>10625</v>
      </c>
      <c r="G37">
        <f t="shared" si="2"/>
        <v>1.0429000000003725</v>
      </c>
      <c r="J37">
        <f>+G37</f>
        <v>1.0429000000003725</v>
      </c>
      <c r="O37">
        <f t="shared" ca="1" si="4"/>
        <v>1.0550889892011281</v>
      </c>
      <c r="Q37" s="2">
        <f t="shared" si="5"/>
        <v>41486.982300000003</v>
      </c>
      <c r="R37" s="2"/>
      <c r="S37">
        <f t="shared" ca="1" si="7"/>
        <v>1.4857145773613706E-4</v>
      </c>
    </row>
    <row r="38" spans="1:21">
      <c r="A38" s="37" t="s">
        <v>52</v>
      </c>
      <c r="B38" s="38" t="s">
        <v>35</v>
      </c>
      <c r="C38" s="30">
        <v>56515.407500000001</v>
      </c>
      <c r="D38" s="39">
        <v>3.5000000000000001E-3</v>
      </c>
      <c r="E38" s="32">
        <f t="shared" si="0"/>
        <v>10649.805277632035</v>
      </c>
      <c r="F38" s="27">
        <f t="shared" si="6"/>
        <v>10647.5</v>
      </c>
      <c r="O38">
        <f t="shared" ca="1" si="4"/>
        <v>1.0554811647172699</v>
      </c>
      <c r="Q38" s="2">
        <f t="shared" si="5"/>
        <v>41496.907500000001</v>
      </c>
      <c r="R38" s="2"/>
      <c r="S38">
        <f ca="1">(U38-O38)^2</f>
        <v>1.3076298337511203E-3</v>
      </c>
      <c r="U38">
        <f>+C38-(C$7+F38*C$8)</f>
        <v>1.0193199999994249</v>
      </c>
    </row>
    <row r="39" spans="1:21">
      <c r="A39" s="37" t="s">
        <v>52</v>
      </c>
      <c r="B39" s="38" t="s">
        <v>35</v>
      </c>
      <c r="C39" s="30">
        <v>56540.423300000002</v>
      </c>
      <c r="D39" s="39">
        <v>3.5000000000000001E-3</v>
      </c>
      <c r="E39" s="32">
        <f t="shared" si="0"/>
        <v>10706.380606466326</v>
      </c>
      <c r="F39" s="27">
        <f t="shared" si="6"/>
        <v>10704</v>
      </c>
      <c r="G39">
        <f t="shared" ref="G39:G70" si="8">+C39-(C$7+F39*C$8)</f>
        <v>1.0526280000049155</v>
      </c>
      <c r="J39">
        <f t="shared" ref="J39:J51" si="9">+G39</f>
        <v>1.0526280000049155</v>
      </c>
      <c r="O39">
        <f t="shared" ca="1" si="4"/>
        <v>1.0564659610133598</v>
      </c>
      <c r="Q39" s="2">
        <f t="shared" si="5"/>
        <v>41521.923300000002</v>
      </c>
      <c r="R39" s="2"/>
      <c r="S39">
        <f t="shared" ref="S39:S70" ca="1" si="10">(G39-O39)^2</f>
        <v>1.4729944702338374E-5</v>
      </c>
    </row>
    <row r="40" spans="1:21">
      <c r="A40" s="37" t="s">
        <v>52</v>
      </c>
      <c r="B40" s="38" t="s">
        <v>35</v>
      </c>
      <c r="C40" s="30">
        <v>56560.337800000001</v>
      </c>
      <c r="D40" s="39">
        <v>1.6999999999999999E-3</v>
      </c>
      <c r="E40" s="32">
        <f t="shared" si="0"/>
        <v>10751.418917696445</v>
      </c>
      <c r="F40" s="27">
        <f t="shared" si="6"/>
        <v>10749</v>
      </c>
      <c r="G40">
        <f t="shared" si="8"/>
        <v>1.0695679999989807</v>
      </c>
      <c r="J40">
        <f t="shared" si="9"/>
        <v>1.0695679999989807</v>
      </c>
      <c r="O40">
        <f t="shared" ca="1" si="4"/>
        <v>1.0572503120456438</v>
      </c>
      <c r="Q40" s="2">
        <f t="shared" si="5"/>
        <v>41541.837800000001</v>
      </c>
      <c r="R40" s="2"/>
      <c r="S40">
        <f t="shared" ca="1" si="10"/>
        <v>1.5172543651578038E-4</v>
      </c>
    </row>
    <row r="41" spans="1:21">
      <c r="A41" s="37" t="s">
        <v>52</v>
      </c>
      <c r="B41" s="38" t="s">
        <v>35</v>
      </c>
      <c r="C41" s="30">
        <v>56560.547200000001</v>
      </c>
      <c r="D41" s="39">
        <v>3.0000000000000001E-3</v>
      </c>
      <c r="E41" s="32">
        <f t="shared" si="0"/>
        <v>10751.892493350946</v>
      </c>
      <c r="F41" s="27">
        <f t="shared" si="6"/>
        <v>10749.5</v>
      </c>
      <c r="G41">
        <f t="shared" si="8"/>
        <v>1.0578840000016498</v>
      </c>
      <c r="J41">
        <f t="shared" si="9"/>
        <v>1.0578840000016498</v>
      </c>
      <c r="O41">
        <f t="shared" ca="1" si="4"/>
        <v>1.0572590270571136</v>
      </c>
      <c r="Q41" s="2">
        <f t="shared" si="5"/>
        <v>41542.047200000001</v>
      </c>
      <c r="R41" s="2"/>
      <c r="S41">
        <f t="shared" ca="1" si="10"/>
        <v>3.9059118140228364E-7</v>
      </c>
    </row>
    <row r="42" spans="1:21">
      <c r="A42" s="37" t="s">
        <v>52</v>
      </c>
      <c r="B42" s="38" t="s">
        <v>35</v>
      </c>
      <c r="C42" s="30">
        <v>56568.508300000001</v>
      </c>
      <c r="D42" s="39">
        <v>1.6999999999999999E-3</v>
      </c>
      <c r="E42" s="32">
        <f t="shared" si="0"/>
        <v>10769.897188398983</v>
      </c>
      <c r="F42" s="27">
        <f t="shared" si="6"/>
        <v>10767.5</v>
      </c>
      <c r="G42">
        <f t="shared" si="8"/>
        <v>1.0599599999986822</v>
      </c>
      <c r="J42">
        <f t="shared" si="9"/>
        <v>1.0599599999986822</v>
      </c>
      <c r="O42">
        <f t="shared" ca="1" si="4"/>
        <v>1.057572767470027</v>
      </c>
      <c r="Q42" s="2">
        <f t="shared" si="5"/>
        <v>41550.008300000001</v>
      </c>
      <c r="R42" s="2"/>
      <c r="S42">
        <f t="shared" ca="1" si="10"/>
        <v>5.6988791458691971E-6</v>
      </c>
    </row>
    <row r="43" spans="1:21">
      <c r="A43" s="37" t="s">
        <v>52</v>
      </c>
      <c r="B43" s="38" t="s">
        <v>35</v>
      </c>
      <c r="C43" s="30">
        <v>56579.335800000001</v>
      </c>
      <c r="D43" s="39">
        <v>2.3999999999999998E-3</v>
      </c>
      <c r="E43" s="32">
        <f t="shared" si="0"/>
        <v>10794.384487344179</v>
      </c>
      <c r="F43" s="27">
        <f t="shared" si="6"/>
        <v>10792</v>
      </c>
      <c r="G43">
        <f t="shared" si="8"/>
        <v>1.0543440000037663</v>
      </c>
      <c r="J43">
        <f t="shared" si="9"/>
        <v>1.0543440000037663</v>
      </c>
      <c r="O43">
        <f t="shared" ca="1" si="4"/>
        <v>1.0579998030320483</v>
      </c>
      <c r="Q43" s="2">
        <f t="shared" si="5"/>
        <v>41560.835800000001</v>
      </c>
      <c r="R43" s="2"/>
      <c r="S43">
        <f t="shared" ca="1" si="10"/>
        <v>1.3364895781596253E-5</v>
      </c>
    </row>
    <row r="44" spans="1:21">
      <c r="A44" s="37" t="s">
        <v>52</v>
      </c>
      <c r="B44" s="38" t="s">
        <v>35</v>
      </c>
      <c r="C44" s="30">
        <v>56596.373899999999</v>
      </c>
      <c r="D44" s="39">
        <v>1.8E-3</v>
      </c>
      <c r="E44" s="32">
        <f t="shared" si="0"/>
        <v>10832.917578838811</v>
      </c>
      <c r="F44" s="27">
        <f t="shared" si="6"/>
        <v>10830.5</v>
      </c>
      <c r="G44">
        <f t="shared" si="8"/>
        <v>1.0689760000022943</v>
      </c>
      <c r="J44">
        <f t="shared" si="9"/>
        <v>1.0689760000022943</v>
      </c>
      <c r="O44">
        <f t="shared" ca="1" si="4"/>
        <v>1.0586708589152245</v>
      </c>
      <c r="Q44" s="2">
        <f t="shared" si="5"/>
        <v>41577.873899999999</v>
      </c>
      <c r="R44" s="2"/>
      <c r="S44">
        <f t="shared" ca="1" si="10"/>
        <v>1.0619593282441441E-4</v>
      </c>
    </row>
    <row r="45" spans="1:21">
      <c r="A45" s="37" t="s">
        <v>52</v>
      </c>
      <c r="B45" s="38" t="s">
        <v>35</v>
      </c>
      <c r="C45" s="30">
        <v>56608.298199999997</v>
      </c>
      <c r="D45" s="39">
        <v>1.2999999999999999E-3</v>
      </c>
      <c r="E45" s="32">
        <f t="shared" si="0"/>
        <v>10859.88538293137</v>
      </c>
      <c r="F45" s="27">
        <f t="shared" si="6"/>
        <v>10857.5</v>
      </c>
      <c r="G45">
        <f t="shared" si="8"/>
        <v>1.0547399999995832</v>
      </c>
      <c r="J45">
        <f t="shared" si="9"/>
        <v>1.0547399999995832</v>
      </c>
      <c r="O45">
        <f t="shared" ca="1" si="4"/>
        <v>1.0591414695345949</v>
      </c>
      <c r="Q45" s="2">
        <f t="shared" si="5"/>
        <v>41589.798199999997</v>
      </c>
      <c r="R45" s="2"/>
      <c r="S45">
        <f t="shared" ca="1" si="10"/>
        <v>1.9372934067635559E-5</v>
      </c>
    </row>
    <row r="46" spans="1:21">
      <c r="A46" s="37" t="s">
        <v>52</v>
      </c>
      <c r="B46" s="38" t="s">
        <v>35</v>
      </c>
      <c r="C46" s="30">
        <v>56623.326200000003</v>
      </c>
      <c r="D46" s="39">
        <v>1E-3</v>
      </c>
      <c r="E46" s="32">
        <f t="shared" si="0"/>
        <v>10893.872464764532</v>
      </c>
      <c r="F46" s="27">
        <f t="shared" si="6"/>
        <v>10891.5</v>
      </c>
      <c r="G46">
        <f t="shared" si="8"/>
        <v>1.0490280000012717</v>
      </c>
      <c r="J46">
        <f t="shared" si="9"/>
        <v>1.0490280000012717</v>
      </c>
      <c r="O46">
        <f t="shared" ca="1" si="4"/>
        <v>1.0597340903145427</v>
      </c>
      <c r="Q46" s="2">
        <f t="shared" si="5"/>
        <v>41604.826200000003</v>
      </c>
      <c r="R46" s="2"/>
      <c r="S46">
        <f t="shared" ca="1" si="10"/>
        <v>1.1462036979591441E-4</v>
      </c>
    </row>
    <row r="47" spans="1:21">
      <c r="A47" s="37" t="s">
        <v>52</v>
      </c>
      <c r="B47" s="38" t="s">
        <v>35</v>
      </c>
      <c r="C47" s="30">
        <v>56647.214</v>
      </c>
      <c r="D47" s="39">
        <v>1.9E-3</v>
      </c>
      <c r="E47" s="32">
        <f t="shared" si="0"/>
        <v>10947.896727035879</v>
      </c>
      <c r="F47" s="27">
        <f t="shared" si="6"/>
        <v>10945.5</v>
      </c>
      <c r="G47">
        <f t="shared" si="8"/>
        <v>1.0597560000023805</v>
      </c>
      <c r="J47">
        <f t="shared" si="9"/>
        <v>1.0597560000023805</v>
      </c>
      <c r="O47">
        <f t="shared" ca="1" si="4"/>
        <v>1.0606753115532834</v>
      </c>
      <c r="Q47" s="2">
        <f t="shared" si="5"/>
        <v>41628.714</v>
      </c>
      <c r="R47" s="2"/>
      <c r="S47">
        <f t="shared" ca="1" si="10"/>
        <v>8.4513372762362051E-7</v>
      </c>
    </row>
    <row r="48" spans="1:21">
      <c r="A48" s="37" t="s">
        <v>52</v>
      </c>
      <c r="B48" s="38" t="s">
        <v>35</v>
      </c>
      <c r="C48" s="30">
        <v>56675.294800000003</v>
      </c>
      <c r="D48" s="39">
        <v>1.6999999999999999E-3</v>
      </c>
      <c r="E48" s="32">
        <f t="shared" si="0"/>
        <v>11011.403810316449</v>
      </c>
      <c r="F48" s="27">
        <f t="shared" si="6"/>
        <v>11009</v>
      </c>
      <c r="G48">
        <f t="shared" si="8"/>
        <v>1.0628880000003846</v>
      </c>
      <c r="J48">
        <f t="shared" si="9"/>
        <v>1.0628880000003846</v>
      </c>
      <c r="O48">
        <f t="shared" ca="1" si="4"/>
        <v>1.0617821180099507</v>
      </c>
      <c r="Q48" s="2">
        <f t="shared" si="5"/>
        <v>41656.794800000003</v>
      </c>
      <c r="R48" s="2"/>
      <c r="S48">
        <f t="shared" ca="1" si="10"/>
        <v>1.2229749767661159E-6</v>
      </c>
    </row>
    <row r="49" spans="1:19">
      <c r="A49" s="39" t="s">
        <v>53</v>
      </c>
      <c r="B49" s="38" t="s">
        <v>35</v>
      </c>
      <c r="C49" s="39">
        <v>56815.461300000003</v>
      </c>
      <c r="D49" s="39">
        <v>2.3E-3</v>
      </c>
      <c r="E49" s="32">
        <f t="shared" si="0"/>
        <v>11328.402100559071</v>
      </c>
      <c r="F49" s="27">
        <f t="shared" si="6"/>
        <v>11326</v>
      </c>
      <c r="G49">
        <f t="shared" si="8"/>
        <v>1.0621319999991101</v>
      </c>
      <c r="J49">
        <f t="shared" si="9"/>
        <v>1.0621319999991101</v>
      </c>
      <c r="O49">
        <f t="shared" ca="1" si="4"/>
        <v>1.067307435281817</v>
      </c>
      <c r="Q49" s="2">
        <f t="shared" si="5"/>
        <v>41796.961300000003</v>
      </c>
      <c r="R49" s="2"/>
      <c r="S49">
        <f t="shared" ca="1" si="10"/>
        <v>2.678513036548765E-5</v>
      </c>
    </row>
    <row r="50" spans="1:19">
      <c r="A50" s="39" t="s">
        <v>53</v>
      </c>
      <c r="B50" s="38" t="s">
        <v>35</v>
      </c>
      <c r="C50" s="39">
        <v>56821.430500000002</v>
      </c>
      <c r="D50" s="39">
        <v>2.8E-3</v>
      </c>
      <c r="E50" s="32">
        <f t="shared" si="0"/>
        <v>11341.90194677137</v>
      </c>
      <c r="F50" s="27">
        <f t="shared" si="6"/>
        <v>11339.5</v>
      </c>
      <c r="G50">
        <f t="shared" si="8"/>
        <v>1.0620640000051935</v>
      </c>
      <c r="J50">
        <f t="shared" si="9"/>
        <v>1.0620640000051935</v>
      </c>
      <c r="O50">
        <f t="shared" ca="1" si="4"/>
        <v>1.0675427405915023</v>
      </c>
      <c r="Q50" s="2">
        <f t="shared" si="5"/>
        <v>41802.930500000002</v>
      </c>
      <c r="R50" s="2"/>
      <c r="S50">
        <f t="shared" ca="1" si="10"/>
        <v>3.0016598412067476E-5</v>
      </c>
    </row>
    <row r="51" spans="1:19">
      <c r="A51" s="39" t="s">
        <v>54</v>
      </c>
      <c r="B51" s="31"/>
      <c r="C51" s="39">
        <v>56830.498</v>
      </c>
      <c r="D51" s="39">
        <v>2.0000000000000001E-4</v>
      </c>
      <c r="E51" s="32">
        <f t="shared" si="0"/>
        <v>11362.408858171555</v>
      </c>
      <c r="F51" s="27">
        <f t="shared" si="6"/>
        <v>11360</v>
      </c>
      <c r="G51">
        <f t="shared" si="8"/>
        <v>1.0651199999992969</v>
      </c>
      <c r="J51">
        <f t="shared" si="9"/>
        <v>1.0651199999992969</v>
      </c>
      <c r="O51">
        <f t="shared" ca="1" si="4"/>
        <v>1.0679000560617649</v>
      </c>
      <c r="Q51" s="2">
        <f t="shared" si="5"/>
        <v>41811.998</v>
      </c>
      <c r="R51" s="2"/>
      <c r="S51">
        <f t="shared" ca="1" si="10"/>
        <v>7.7287117104651131E-6</v>
      </c>
    </row>
    <row r="52" spans="1:19">
      <c r="A52" s="30" t="s">
        <v>55</v>
      </c>
      <c r="B52" s="31" t="s">
        <v>35</v>
      </c>
      <c r="C52" s="44">
        <v>56845.529889999998</v>
      </c>
      <c r="D52" s="30">
        <v>4.0000000000000002E-4</v>
      </c>
      <c r="E52" s="32">
        <f t="shared" si="0"/>
        <v>11396.404737565808</v>
      </c>
      <c r="F52" s="27">
        <f t="shared" si="6"/>
        <v>11394</v>
      </c>
      <c r="G52">
        <f t="shared" si="8"/>
        <v>1.0632980000009411</v>
      </c>
      <c r="K52">
        <f>+G52</f>
        <v>1.0632980000009411</v>
      </c>
      <c r="O52">
        <f t="shared" ca="1" si="4"/>
        <v>1.0684926768417127</v>
      </c>
      <c r="Q52" s="2">
        <f t="shared" si="5"/>
        <v>41827.029889999998</v>
      </c>
      <c r="R52" s="2"/>
      <c r="S52">
        <f t="shared" ca="1" si="10"/>
        <v>2.6984667480048526E-5</v>
      </c>
    </row>
    <row r="53" spans="1:19">
      <c r="A53" s="30" t="s">
        <v>55</v>
      </c>
      <c r="B53" s="31" t="s">
        <v>35</v>
      </c>
      <c r="C53" s="44">
        <v>56845.531969999996</v>
      </c>
      <c r="D53" s="30">
        <v>4.0000000000000002E-4</v>
      </c>
      <c r="E53" s="32">
        <f t="shared" ref="E53:E71" si="11">+(C53-C$7)/C$8</f>
        <v>11396.409441660177</v>
      </c>
      <c r="F53" s="27">
        <f t="shared" si="6"/>
        <v>11394</v>
      </c>
      <c r="G53">
        <f t="shared" si="8"/>
        <v>1.0653779999993276</v>
      </c>
      <c r="K53">
        <f>+G53</f>
        <v>1.0653779999993276</v>
      </c>
      <c r="O53">
        <f t="shared" ref="O53:O71" ca="1" si="12">+C$11+C$12*$F53</f>
        <v>1.0684926768417127</v>
      </c>
      <c r="Q53" s="2">
        <f t="shared" ref="Q53:Q71" si="13">+C53-15018.5</f>
        <v>41827.031969999996</v>
      </c>
      <c r="R53" s="2"/>
      <c r="S53">
        <f t="shared" ca="1" si="10"/>
        <v>9.7012118324899485E-6</v>
      </c>
    </row>
    <row r="54" spans="1:19">
      <c r="A54" s="30" t="s">
        <v>55</v>
      </c>
      <c r="B54" s="31" t="s">
        <v>36</v>
      </c>
      <c r="C54" s="44">
        <v>56855.480510000001</v>
      </c>
      <c r="D54" s="30">
        <v>1E-3</v>
      </c>
      <c r="E54" s="32">
        <f t="shared" si="11"/>
        <v>11418.908898880067</v>
      </c>
      <c r="F54" s="27">
        <f t="shared" si="6"/>
        <v>11416.5</v>
      </c>
      <c r="G54">
        <f t="shared" si="8"/>
        <v>1.0651379999981145</v>
      </c>
      <c r="K54">
        <f>+G54</f>
        <v>1.0651379999981145</v>
      </c>
      <c r="O54">
        <f t="shared" ca="1" si="12"/>
        <v>1.0688848523578547</v>
      </c>
      <c r="Q54" s="2">
        <f t="shared" si="13"/>
        <v>41836.980510000001</v>
      </c>
      <c r="R54" s="2"/>
      <c r="S54">
        <f t="shared" ca="1" si="10"/>
        <v>1.4038902605690325E-5</v>
      </c>
    </row>
    <row r="55" spans="1:19">
      <c r="A55" s="39" t="s">
        <v>54</v>
      </c>
      <c r="B55" s="31"/>
      <c r="C55" s="39">
        <v>56855.485500000003</v>
      </c>
      <c r="D55" s="39">
        <v>2.0000000000000001E-4</v>
      </c>
      <c r="E55" s="32">
        <f t="shared" si="11"/>
        <v>11418.920184183395</v>
      </c>
      <c r="F55" s="27">
        <f t="shared" si="6"/>
        <v>11416.5</v>
      </c>
      <c r="G55">
        <f t="shared" si="8"/>
        <v>1.0701279999993858</v>
      </c>
      <c r="J55">
        <f>+G55</f>
        <v>1.0701279999993858</v>
      </c>
      <c r="O55">
        <f t="shared" ca="1" si="12"/>
        <v>1.0688848523578547</v>
      </c>
      <c r="Q55" s="2">
        <f t="shared" si="13"/>
        <v>41836.985500000003</v>
      </c>
      <c r="R55" s="2"/>
      <c r="S55">
        <f t="shared" ca="1" si="10"/>
        <v>1.5454160586443512E-6</v>
      </c>
    </row>
    <row r="56" spans="1:19">
      <c r="A56" s="30" t="s">
        <v>55</v>
      </c>
      <c r="B56" s="31" t="s">
        <v>36</v>
      </c>
      <c r="C56" s="44">
        <v>56855.488749999997</v>
      </c>
      <c r="D56" s="30">
        <v>5.9999999999999995E-4</v>
      </c>
      <c r="E56" s="32">
        <f t="shared" si="11"/>
        <v>11418.927534330836</v>
      </c>
      <c r="F56" s="27">
        <f t="shared" si="6"/>
        <v>11416.5</v>
      </c>
      <c r="G56">
        <f t="shared" si="8"/>
        <v>1.0733779999936814</v>
      </c>
      <c r="K56">
        <f>+G56</f>
        <v>1.0733779999936814</v>
      </c>
      <c r="O56">
        <f t="shared" ca="1" si="12"/>
        <v>1.0688848523578547</v>
      </c>
      <c r="Q56" s="2">
        <f t="shared" si="13"/>
        <v>41836.988749999997</v>
      </c>
      <c r="R56" s="2"/>
      <c r="S56">
        <f t="shared" ca="1" si="10"/>
        <v>2.0188375677335561E-5</v>
      </c>
    </row>
    <row r="57" spans="1:19">
      <c r="A57" s="30" t="s">
        <v>55</v>
      </c>
      <c r="B57" s="31" t="s">
        <v>36</v>
      </c>
      <c r="C57" s="44">
        <v>56863.445489999998</v>
      </c>
      <c r="D57" s="30">
        <v>4.0000000000000002E-4</v>
      </c>
      <c r="E57" s="32">
        <f t="shared" si="11"/>
        <v>11436.922368873367</v>
      </c>
      <c r="F57" s="27">
        <f t="shared" si="6"/>
        <v>11434.5</v>
      </c>
      <c r="G57">
        <f t="shared" si="8"/>
        <v>1.0710939999989932</v>
      </c>
      <c r="K57">
        <f>+G57</f>
        <v>1.0710939999989932</v>
      </c>
      <c r="O57">
        <f t="shared" ca="1" si="12"/>
        <v>1.0691985927707683</v>
      </c>
      <c r="Q57" s="2">
        <f t="shared" si="13"/>
        <v>41844.945489999998</v>
      </c>
      <c r="R57" s="2"/>
      <c r="S57">
        <f t="shared" ca="1" si="10"/>
        <v>3.5925685608071945E-6</v>
      </c>
    </row>
    <row r="58" spans="1:19">
      <c r="A58" s="30" t="s">
        <v>55</v>
      </c>
      <c r="B58" s="31" t="s">
        <v>36</v>
      </c>
      <c r="C58" s="44">
        <v>56863.449050000003</v>
      </c>
      <c r="D58" s="30">
        <v>5.9999999999999995E-4</v>
      </c>
      <c r="E58" s="32">
        <f t="shared" si="11"/>
        <v>11436.930420111821</v>
      </c>
      <c r="F58" s="27">
        <f t="shared" si="6"/>
        <v>11434.5</v>
      </c>
      <c r="G58">
        <f t="shared" si="8"/>
        <v>1.0746540000036475</v>
      </c>
      <c r="K58">
        <f>+G58</f>
        <v>1.0746540000036475</v>
      </c>
      <c r="O58">
        <f t="shared" ca="1" si="12"/>
        <v>1.0691985927707683</v>
      </c>
      <c r="Q58" s="2">
        <f t="shared" si="13"/>
        <v>41844.949050000003</v>
      </c>
      <c r="R58" s="2"/>
      <c r="S58">
        <f t="shared" ca="1" si="10"/>
        <v>2.976146807655051E-5</v>
      </c>
    </row>
    <row r="59" spans="1:19">
      <c r="A59" s="39" t="s">
        <v>54</v>
      </c>
      <c r="B59" s="31"/>
      <c r="C59" s="39">
        <v>56871.408499999998</v>
      </c>
      <c r="D59" s="39">
        <v>2.9999999999999997E-4</v>
      </c>
      <c r="E59" s="32">
        <f t="shared" si="11"/>
        <v>11454.931383546522</v>
      </c>
      <c r="F59" s="27">
        <f t="shared" si="6"/>
        <v>11452.5</v>
      </c>
      <c r="G59">
        <f t="shared" si="8"/>
        <v>1.0750799999950686</v>
      </c>
      <c r="J59">
        <f>+G59</f>
        <v>1.0750799999950686</v>
      </c>
      <c r="O59">
        <f t="shared" ca="1" si="12"/>
        <v>1.0695123331836818</v>
      </c>
      <c r="Q59" s="2">
        <f t="shared" si="13"/>
        <v>41852.908499999998</v>
      </c>
      <c r="R59" s="2"/>
      <c r="S59">
        <f t="shared" ca="1" si="10"/>
        <v>3.0998913722618872E-5</v>
      </c>
    </row>
    <row r="60" spans="1:19">
      <c r="A60" s="30" t="s">
        <v>55</v>
      </c>
      <c r="B60" s="31" t="s">
        <v>35</v>
      </c>
      <c r="C60" s="44">
        <v>56878.4761</v>
      </c>
      <c r="D60" s="30">
        <v>5.0000000000000001E-4</v>
      </c>
      <c r="E60" s="32">
        <f t="shared" si="11"/>
        <v>11470.915353440321</v>
      </c>
      <c r="F60" s="27">
        <f t="shared" si="6"/>
        <v>11468.5</v>
      </c>
      <c r="G60">
        <f t="shared" si="8"/>
        <v>1.0679919999965932</v>
      </c>
      <c r="K60">
        <f>+G60</f>
        <v>1.0679919999965932</v>
      </c>
      <c r="O60">
        <f t="shared" ca="1" si="12"/>
        <v>1.0697912135507162</v>
      </c>
      <c r="Q60" s="2">
        <f t="shared" si="13"/>
        <v>41859.9761</v>
      </c>
      <c r="R60" s="2"/>
      <c r="S60">
        <f t="shared" ca="1" si="10"/>
        <v>3.2371694133396869E-6</v>
      </c>
    </row>
    <row r="61" spans="1:19">
      <c r="A61" s="30" t="s">
        <v>55</v>
      </c>
      <c r="B61" s="31" t="s">
        <v>35</v>
      </c>
      <c r="C61" s="44">
        <v>56878.476300000002</v>
      </c>
      <c r="D61" s="30">
        <v>2.9999999999999997E-4</v>
      </c>
      <c r="E61" s="32">
        <f t="shared" si="11"/>
        <v>11470.915805757093</v>
      </c>
      <c r="F61" s="27">
        <f t="shared" si="6"/>
        <v>11468.5</v>
      </c>
      <c r="G61">
        <f t="shared" si="8"/>
        <v>1.0681919999988168</v>
      </c>
      <c r="K61">
        <f>+G61</f>
        <v>1.0681919999988168</v>
      </c>
      <c r="O61">
        <f t="shared" ca="1" si="12"/>
        <v>1.0697912135507162</v>
      </c>
      <c r="Q61" s="2">
        <f t="shared" si="13"/>
        <v>41859.976300000002</v>
      </c>
      <c r="R61" s="2"/>
      <c r="S61">
        <f t="shared" ca="1" si="10"/>
        <v>2.5574839845787056E-6</v>
      </c>
    </row>
    <row r="62" spans="1:19">
      <c r="A62" s="39" t="s">
        <v>54</v>
      </c>
      <c r="B62" s="31"/>
      <c r="C62" s="39">
        <v>56921.376700000001</v>
      </c>
      <c r="D62" s="39">
        <v>2.0000000000000001E-4</v>
      </c>
      <c r="E62" s="32">
        <f t="shared" si="11"/>
        <v>11567.938656800134</v>
      </c>
      <c r="F62" s="27">
        <f t="shared" si="6"/>
        <v>11565.5</v>
      </c>
      <c r="G62">
        <f t="shared" si="8"/>
        <v>1.078295999999682</v>
      </c>
      <c r="J62">
        <f t="shared" ref="J62:J70" si="14">+G62</f>
        <v>1.078295999999682</v>
      </c>
      <c r="O62">
        <f t="shared" ca="1" si="12"/>
        <v>1.0714819257758614</v>
      </c>
      <c r="Q62" s="2">
        <f t="shared" si="13"/>
        <v>41902.876700000001</v>
      </c>
      <c r="R62" s="2"/>
      <c r="S62">
        <f t="shared" ca="1" si="10"/>
        <v>4.6431607527735235E-5</v>
      </c>
    </row>
    <row r="63" spans="1:19">
      <c r="A63" s="39" t="s">
        <v>54</v>
      </c>
      <c r="B63" s="31"/>
      <c r="C63" s="39">
        <v>56923.370499999997</v>
      </c>
      <c r="D63" s="39">
        <v>5.9999999999999995E-4</v>
      </c>
      <c r="E63" s="32">
        <f t="shared" si="11"/>
        <v>11572.447802645143</v>
      </c>
      <c r="F63" s="27">
        <f t="shared" si="6"/>
        <v>11570</v>
      </c>
      <c r="G63">
        <f t="shared" si="8"/>
        <v>1.0823400000008405</v>
      </c>
      <c r="J63">
        <f t="shared" si="14"/>
        <v>1.0823400000008405</v>
      </c>
      <c r="O63">
        <f t="shared" ca="1" si="12"/>
        <v>1.0715603608790898</v>
      </c>
      <c r="Q63" s="2">
        <f t="shared" si="13"/>
        <v>41904.870499999997</v>
      </c>
      <c r="R63" s="2"/>
      <c r="S63">
        <f t="shared" ca="1" si="10"/>
        <v>1.1620061959517881E-4</v>
      </c>
    </row>
    <row r="64" spans="1:19">
      <c r="A64" s="39" t="s">
        <v>54</v>
      </c>
      <c r="B64" s="31"/>
      <c r="C64" s="39">
        <v>56931.306799999998</v>
      </c>
      <c r="D64" s="39">
        <v>2.9999999999999997E-4</v>
      </c>
      <c r="E64" s="32">
        <f t="shared" si="11"/>
        <v>11590.39641041414</v>
      </c>
      <c r="F64" s="27">
        <f t="shared" si="6"/>
        <v>11588</v>
      </c>
      <c r="G64">
        <f t="shared" si="8"/>
        <v>1.0596159999986412</v>
      </c>
      <c r="J64">
        <f t="shared" si="14"/>
        <v>1.0596159999986412</v>
      </c>
      <c r="O64">
        <f t="shared" ca="1" si="12"/>
        <v>1.0718741012920032</v>
      </c>
      <c r="Q64" s="2">
        <f t="shared" si="13"/>
        <v>41912.806799999998</v>
      </c>
      <c r="R64" s="2"/>
      <c r="S64">
        <f t="shared" ca="1" si="10"/>
        <v>1.5026104731832369E-4</v>
      </c>
    </row>
    <row r="65" spans="1:19">
      <c r="A65" s="39" t="s">
        <v>54</v>
      </c>
      <c r="B65" s="31"/>
      <c r="C65" s="39">
        <v>56931.552499999998</v>
      </c>
      <c r="D65" s="39">
        <v>2.9999999999999997E-4</v>
      </c>
      <c r="E65" s="32">
        <f t="shared" si="11"/>
        <v>11590.952081561756</v>
      </c>
      <c r="F65" s="27">
        <f t="shared" si="6"/>
        <v>11588.5</v>
      </c>
      <c r="G65">
        <f t="shared" si="8"/>
        <v>1.0842320000010659</v>
      </c>
      <c r="J65">
        <f t="shared" si="14"/>
        <v>1.0842320000010659</v>
      </c>
      <c r="O65">
        <f t="shared" ca="1" si="12"/>
        <v>1.071882816303473</v>
      </c>
      <c r="Q65" s="2">
        <f t="shared" si="13"/>
        <v>41913.052499999998</v>
      </c>
      <c r="R65" s="2"/>
      <c r="S65">
        <f t="shared" ca="1" si="10"/>
        <v>1.5250233799689322E-4</v>
      </c>
    </row>
    <row r="66" spans="1:19">
      <c r="A66" s="39" t="s">
        <v>54</v>
      </c>
      <c r="B66" s="31"/>
      <c r="C66" s="39">
        <v>56933.309200000003</v>
      </c>
      <c r="D66" s="39">
        <v>2.0999999999999999E-3</v>
      </c>
      <c r="E66" s="32">
        <f t="shared" si="11"/>
        <v>11594.925005880126</v>
      </c>
      <c r="F66" s="27">
        <f t="shared" si="6"/>
        <v>11592.5</v>
      </c>
      <c r="G66">
        <f t="shared" si="8"/>
        <v>1.0722600000008242</v>
      </c>
      <c r="J66">
        <f t="shared" si="14"/>
        <v>1.0722600000008242</v>
      </c>
      <c r="O66">
        <f t="shared" ca="1" si="12"/>
        <v>1.0719525363952318</v>
      </c>
      <c r="Q66" s="2">
        <f t="shared" si="13"/>
        <v>41914.809200000003</v>
      </c>
      <c r="R66" s="2"/>
      <c r="S66">
        <f t="shared" ca="1" si="10"/>
        <v>9.4533868763889585E-8</v>
      </c>
    </row>
    <row r="67" spans="1:19">
      <c r="A67" s="39" t="s">
        <v>54</v>
      </c>
      <c r="B67" s="31"/>
      <c r="C67" s="39">
        <v>56933.532299999999</v>
      </c>
      <c r="D67" s="39">
        <v>8.9999999999999993E-3</v>
      </c>
      <c r="E67" s="32">
        <f t="shared" si="11"/>
        <v>11595.429565233122</v>
      </c>
      <c r="F67" s="27">
        <f t="shared" si="6"/>
        <v>11593</v>
      </c>
      <c r="G67">
        <f t="shared" si="8"/>
        <v>1.0742759999993723</v>
      </c>
      <c r="J67">
        <f t="shared" si="14"/>
        <v>1.0742759999993723</v>
      </c>
      <c r="O67">
        <f t="shared" ca="1" si="12"/>
        <v>1.0719612514067016</v>
      </c>
      <c r="Q67" s="2">
        <f t="shared" si="13"/>
        <v>41915.032299999999</v>
      </c>
      <c r="R67" s="2"/>
      <c r="S67">
        <f t="shared" ca="1" si="10"/>
        <v>5.3580610472708373E-6</v>
      </c>
    </row>
    <row r="68" spans="1:19">
      <c r="A68" s="39" t="s">
        <v>54</v>
      </c>
      <c r="B68" s="31"/>
      <c r="C68" s="39">
        <v>56935.298799999997</v>
      </c>
      <c r="D68" s="39">
        <v>2.9999999999999997E-4</v>
      </c>
      <c r="E68" s="32">
        <f t="shared" si="11"/>
        <v>11599.424653073034</v>
      </c>
      <c r="F68" s="27">
        <f t="shared" si="6"/>
        <v>11597</v>
      </c>
      <c r="G68">
        <f t="shared" si="8"/>
        <v>1.0721039999989443</v>
      </c>
      <c r="J68">
        <f t="shared" si="14"/>
        <v>1.0721039999989443</v>
      </c>
      <c r="O68">
        <f t="shared" ca="1" si="12"/>
        <v>1.0720309714984602</v>
      </c>
      <c r="Q68" s="2">
        <f t="shared" si="13"/>
        <v>41916.798799999997</v>
      </c>
      <c r="R68" s="2"/>
      <c r="S68">
        <f t="shared" ca="1" si="10"/>
        <v>5.3331618829685555E-9</v>
      </c>
    </row>
    <row r="69" spans="1:19">
      <c r="A69" s="39" t="s">
        <v>54</v>
      </c>
      <c r="B69" s="31"/>
      <c r="C69" s="39">
        <v>56935.504699999998</v>
      </c>
      <c r="D69" s="39">
        <v>5.0000000000000001E-4</v>
      </c>
      <c r="E69" s="32">
        <f t="shared" si="11"/>
        <v>11599.890313184125</v>
      </c>
      <c r="F69" s="27">
        <f t="shared" si="6"/>
        <v>11597.5</v>
      </c>
      <c r="G69">
        <f t="shared" si="8"/>
        <v>1.0569199999954435</v>
      </c>
      <c r="J69">
        <f t="shared" si="14"/>
        <v>1.0569199999954435</v>
      </c>
      <c r="O69">
        <f t="shared" ca="1" si="12"/>
        <v>1.07203968650993</v>
      </c>
      <c r="Q69" s="2">
        <f t="shared" si="13"/>
        <v>41917.004699999998</v>
      </c>
      <c r="R69" s="2"/>
      <c r="S69">
        <f t="shared" ca="1" si="10"/>
        <v>2.2860492029634416E-4</v>
      </c>
    </row>
    <row r="70" spans="1:19">
      <c r="A70" s="30" t="s">
        <v>60</v>
      </c>
      <c r="B70" s="31"/>
      <c r="C70" s="30">
        <v>57215.420400000003</v>
      </c>
      <c r="D70" s="30">
        <v>2.9999999999999997E-4</v>
      </c>
      <c r="E70">
        <f t="shared" si="11"/>
        <v>12232.943134736126</v>
      </c>
      <c r="F70" s="27">
        <f t="shared" si="6"/>
        <v>12230.5</v>
      </c>
      <c r="G70">
        <f t="shared" si="8"/>
        <v>1.0802760000005946</v>
      </c>
      <c r="J70">
        <f t="shared" si="14"/>
        <v>1.0802760000005946</v>
      </c>
      <c r="O70">
        <f t="shared" ca="1" si="12"/>
        <v>1.0830728910307232</v>
      </c>
      <c r="Q70" s="2">
        <f t="shared" si="13"/>
        <v>42196.920400000003</v>
      </c>
      <c r="R70" s="2"/>
      <c r="S70">
        <f t="shared" ca="1" si="10"/>
        <v>7.8225994344137651E-6</v>
      </c>
    </row>
    <row r="71" spans="1:19">
      <c r="A71" s="62" t="s">
        <v>213</v>
      </c>
      <c r="B71" s="63" t="s">
        <v>35</v>
      </c>
      <c r="C71" s="64">
        <v>57264.506789999999</v>
      </c>
      <c r="D71" s="64">
        <v>2.9999999999999997E-4</v>
      </c>
      <c r="E71">
        <f t="shared" si="11"/>
        <v>12343.956120750483</v>
      </c>
      <c r="F71" s="27">
        <f t="shared" si="6"/>
        <v>12341.5</v>
      </c>
      <c r="G71">
        <f>+C71-(C$7+F71*C$8)</f>
        <v>1.0860180000017863</v>
      </c>
      <c r="K71">
        <f>+G71</f>
        <v>1.0860180000017863</v>
      </c>
      <c r="O71">
        <f t="shared" ca="1" si="12"/>
        <v>1.0850076235770234</v>
      </c>
      <c r="Q71" s="2">
        <f t="shared" si="13"/>
        <v>42246.006789999999</v>
      </c>
      <c r="R71" s="2"/>
      <c r="S71">
        <f ca="1">(G71-O71)^2</f>
        <v>1.0208605197166016E-6</v>
      </c>
    </row>
    <row r="72" spans="1:19">
      <c r="A72" s="61" t="s">
        <v>0</v>
      </c>
      <c r="B72" s="66" t="s">
        <v>35</v>
      </c>
      <c r="C72" s="65">
        <v>57928.4473</v>
      </c>
      <c r="D72" s="65">
        <v>2.9999999999999997E-4</v>
      </c>
      <c r="E72">
        <f>+(C72-C$7)/C$8</f>
        <v>13845.513243834923</v>
      </c>
      <c r="F72" s="27">
        <f t="shared" si="6"/>
        <v>13843</v>
      </c>
      <c r="G72">
        <f>+C72-(C$7+F72*C$8)</f>
        <v>1.1112760000032722</v>
      </c>
      <c r="K72">
        <f>+G72</f>
        <v>1.1112760000032722</v>
      </c>
      <c r="O72">
        <f ca="1">+C$11+C$12*$F72</f>
        <v>1.111178803020896</v>
      </c>
      <c r="Q72" s="2">
        <f>+C72-15018.5</f>
        <v>42909.9473</v>
      </c>
      <c r="R72" s="2"/>
      <c r="S72">
        <f ca="1">(G72-O72)^2</f>
        <v>9.4472533830397219E-9</v>
      </c>
    </row>
    <row r="73" spans="1:19">
      <c r="A73" s="67" t="s">
        <v>214</v>
      </c>
      <c r="B73" s="68" t="s">
        <v>35</v>
      </c>
      <c r="C73" s="69">
        <v>59495.331700000002</v>
      </c>
      <c r="D73" s="71">
        <v>2.0000000000000001E-4</v>
      </c>
      <c r="E73">
        <f t="shared" ref="E73:E74" si="15">+(C73-C$7)/C$8</f>
        <v>17389.153670098251</v>
      </c>
      <c r="F73" s="27">
        <f t="shared" ref="F73:F74" si="16">ROUND(2*E73,0)/2-F$3</f>
        <v>17386.5</v>
      </c>
      <c r="G73">
        <f t="shared" ref="G73:G74" si="17">+C73-(C$7+F73*C$8)</f>
        <v>1.1733680000033928</v>
      </c>
      <c r="K73">
        <f t="shared" ref="K73:K74" si="18">+G73</f>
        <v>1.1733680000033928</v>
      </c>
      <c r="O73">
        <f t="shared" ref="O73:O74" ca="1" si="19">+C$11+C$12*$F73</f>
        <v>1.1729420893075173</v>
      </c>
      <c r="Q73" s="2">
        <f t="shared" ref="Q73:Q74" si="20">+C73-15018.5</f>
        <v>44476.831700000002</v>
      </c>
      <c r="R73" s="2"/>
      <c r="S73">
        <f t="shared" ref="S73:S74" ca="1" si="21">(G73-O73)^2</f>
        <v>1.8139992086115068E-7</v>
      </c>
    </row>
    <row r="74" spans="1:19">
      <c r="A74" s="67" t="s">
        <v>214</v>
      </c>
      <c r="B74" s="68" t="s">
        <v>35</v>
      </c>
      <c r="C74" s="69">
        <v>59495.5533</v>
      </c>
      <c r="D74" s="71">
        <v>1E-4</v>
      </c>
      <c r="E74">
        <f t="shared" si="15"/>
        <v>17389.654837075501</v>
      </c>
      <c r="F74" s="27">
        <f t="shared" si="16"/>
        <v>17387</v>
      </c>
      <c r="G74">
        <f t="shared" si="17"/>
        <v>1.1738840000034543</v>
      </c>
      <c r="K74">
        <f t="shared" si="18"/>
        <v>1.1738840000034543</v>
      </c>
      <c r="O74">
        <f t="shared" ca="1" si="19"/>
        <v>1.1729508043189871</v>
      </c>
      <c r="Q74" s="2">
        <f t="shared" si="20"/>
        <v>44477.0533</v>
      </c>
      <c r="R74" s="2"/>
      <c r="S74">
        <f t="shared" ca="1" si="21"/>
        <v>8.7085418550810778E-7</v>
      </c>
    </row>
    <row r="75" spans="1:19">
      <c r="A75" s="67" t="s">
        <v>215</v>
      </c>
      <c r="B75" s="68" t="s">
        <v>36</v>
      </c>
      <c r="C75" s="70">
        <v>59815.475299999998</v>
      </c>
      <c r="D75" s="71">
        <v>5.0000000000000001E-4</v>
      </c>
      <c r="E75">
        <f t="shared" ref="E75" si="22">+(C75-C$7)/C$8</f>
        <v>18113.185259901213</v>
      </c>
      <c r="F75" s="27">
        <f t="shared" ref="F75" si="23">ROUND(2*E75,0)/2-F$3</f>
        <v>18110.5</v>
      </c>
      <c r="G75">
        <f t="shared" ref="G75" si="24">+C75-(C$7+F75*C$8)</f>
        <v>1.1873359999954118</v>
      </c>
      <c r="K75">
        <f t="shared" ref="K75" si="25">+G75</f>
        <v>1.1873359999954118</v>
      </c>
      <c r="O75">
        <f t="shared" ref="O75" ca="1" si="26">+C$11+C$12*$F75</f>
        <v>1.185561425915818</v>
      </c>
      <c r="Q75" s="2">
        <f t="shared" ref="Q75" si="27">+C75-15018.5</f>
        <v>44796.975299999998</v>
      </c>
      <c r="R75" s="2"/>
      <c r="S75">
        <f t="shared" ref="S75" ca="1" si="28">(G75-O75)^2</f>
        <v>3.1491131639661991E-6</v>
      </c>
    </row>
    <row r="76" spans="1:19">
      <c r="A76" s="32"/>
      <c r="B76" s="32"/>
      <c r="C76" s="30"/>
      <c r="D76" s="30"/>
    </row>
    <row r="77" spans="1:19">
      <c r="A77" s="32"/>
      <c r="B77" s="32"/>
      <c r="C77" s="30"/>
      <c r="D77" s="30"/>
    </row>
    <row r="78" spans="1:19">
      <c r="A78" s="32"/>
      <c r="B78" s="32"/>
      <c r="C78" s="30"/>
      <c r="D78" s="30"/>
    </row>
    <row r="79" spans="1:19">
      <c r="A79" s="32"/>
      <c r="B79" s="32"/>
      <c r="C79" s="30"/>
      <c r="D79" s="30"/>
    </row>
    <row r="80" spans="1:19">
      <c r="A80" s="32"/>
      <c r="B80" s="32"/>
      <c r="C80" s="30"/>
      <c r="D80" s="30"/>
    </row>
    <row r="81" spans="1:4">
      <c r="A81" s="32"/>
      <c r="B81" s="32"/>
      <c r="C81" s="30"/>
      <c r="D81" s="30"/>
    </row>
    <row r="82" spans="1:4">
      <c r="A82" s="32"/>
      <c r="B82" s="32"/>
      <c r="C82" s="30"/>
      <c r="D82" s="30"/>
    </row>
    <row r="83" spans="1:4">
      <c r="A83" s="32"/>
      <c r="B83" s="32"/>
      <c r="C83" s="30"/>
      <c r="D83" s="30"/>
    </row>
    <row r="84" spans="1:4">
      <c r="A84" s="32"/>
      <c r="B84" s="32"/>
      <c r="C84" s="30"/>
      <c r="D84" s="30"/>
    </row>
    <row r="85" spans="1:4">
      <c r="A85" s="32"/>
      <c r="B85" s="32"/>
      <c r="C85" s="30"/>
      <c r="D85" s="30"/>
    </row>
    <row r="86" spans="1:4">
      <c r="A86" s="32"/>
      <c r="B86" s="32"/>
      <c r="C86" s="30"/>
      <c r="D86" s="30"/>
    </row>
    <row r="87" spans="1:4">
      <c r="A87" s="32"/>
      <c r="B87" s="32"/>
      <c r="C87" s="30"/>
      <c r="D87" s="30"/>
    </row>
    <row r="88" spans="1:4">
      <c r="A88" s="32"/>
      <c r="B88" s="32"/>
      <c r="C88" s="30"/>
      <c r="D88" s="30"/>
    </row>
    <row r="89" spans="1:4">
      <c r="A89" s="32"/>
      <c r="B89" s="32"/>
      <c r="C89" s="30"/>
      <c r="D89" s="30"/>
    </row>
    <row r="90" spans="1:4">
      <c r="A90" s="32"/>
      <c r="B90" s="32"/>
      <c r="C90" s="30"/>
      <c r="D90" s="30"/>
    </row>
    <row r="91" spans="1:4">
      <c r="A91" s="32"/>
      <c r="B91" s="32"/>
      <c r="C91" s="30"/>
      <c r="D91" s="30"/>
    </row>
    <row r="92" spans="1:4">
      <c r="A92" s="32"/>
      <c r="B92" s="32"/>
      <c r="C92" s="30"/>
      <c r="D92" s="30"/>
    </row>
    <row r="93" spans="1:4">
      <c r="A93" s="32"/>
      <c r="B93" s="32"/>
      <c r="C93" s="30"/>
      <c r="D93" s="30"/>
    </row>
    <row r="94" spans="1:4">
      <c r="A94" s="32"/>
      <c r="B94" s="32"/>
      <c r="C94" s="30"/>
      <c r="D94" s="30"/>
    </row>
    <row r="95" spans="1:4">
      <c r="A95" s="32"/>
      <c r="B95" s="32"/>
      <c r="C95" s="30"/>
      <c r="D95" s="30"/>
    </row>
    <row r="96" spans="1:4">
      <c r="A96" s="32"/>
      <c r="B96" s="32"/>
      <c r="C96" s="30"/>
      <c r="D96" s="30"/>
    </row>
    <row r="97" spans="1:4">
      <c r="A97" s="32"/>
      <c r="B97" s="32"/>
      <c r="C97" s="30"/>
      <c r="D97" s="30"/>
    </row>
    <row r="98" spans="1:4">
      <c r="A98" s="32"/>
      <c r="B98" s="32"/>
      <c r="C98" s="30"/>
      <c r="D98" s="30"/>
    </row>
    <row r="99" spans="1:4">
      <c r="A99" s="32"/>
      <c r="B99" s="32"/>
      <c r="C99" s="30"/>
      <c r="D99" s="30"/>
    </row>
    <row r="100" spans="1:4">
      <c r="A100" s="32"/>
      <c r="B100" s="32"/>
      <c r="C100" s="30"/>
      <c r="D100" s="30"/>
    </row>
    <row r="101" spans="1:4">
      <c r="A101" s="32"/>
      <c r="B101" s="32"/>
      <c r="C101" s="30"/>
      <c r="D101" s="30"/>
    </row>
    <row r="102" spans="1:4">
      <c r="A102" s="32"/>
      <c r="B102" s="32"/>
      <c r="C102" s="30"/>
      <c r="D102" s="30"/>
    </row>
    <row r="103" spans="1:4">
      <c r="A103" s="32"/>
      <c r="B103" s="32"/>
      <c r="C103" s="30"/>
      <c r="D103" s="30"/>
    </row>
    <row r="104" spans="1:4">
      <c r="A104" s="32"/>
      <c r="B104" s="32"/>
      <c r="C104" s="30"/>
      <c r="D104" s="30"/>
    </row>
    <row r="105" spans="1:4">
      <c r="A105" s="32"/>
      <c r="B105" s="32"/>
      <c r="C105" s="30"/>
      <c r="D105" s="30"/>
    </row>
    <row r="106" spans="1:4">
      <c r="A106" s="32"/>
      <c r="B106" s="32"/>
      <c r="C106" s="30"/>
      <c r="D106" s="30"/>
    </row>
    <row r="107" spans="1:4">
      <c r="A107" s="32"/>
      <c r="B107" s="32"/>
      <c r="C107" s="30"/>
      <c r="D107" s="30"/>
    </row>
    <row r="108" spans="1:4">
      <c r="A108" s="32"/>
      <c r="B108" s="32"/>
      <c r="C108" s="30"/>
      <c r="D108" s="30"/>
    </row>
    <row r="109" spans="1:4">
      <c r="A109" s="32"/>
      <c r="B109" s="32"/>
      <c r="C109" s="30"/>
      <c r="D109" s="30"/>
    </row>
    <row r="110" spans="1:4">
      <c r="A110" s="32"/>
      <c r="B110" s="32"/>
      <c r="C110" s="30"/>
      <c r="D110" s="30"/>
    </row>
    <row r="111" spans="1:4">
      <c r="A111" s="32"/>
      <c r="B111" s="32"/>
      <c r="C111" s="30"/>
      <c r="D111" s="30"/>
    </row>
    <row r="112" spans="1:4">
      <c r="A112" s="32"/>
      <c r="B112" s="32"/>
      <c r="C112" s="30"/>
      <c r="D112" s="30"/>
    </row>
    <row r="113" spans="1:4">
      <c r="A113" s="32"/>
      <c r="B113" s="32"/>
      <c r="C113" s="30"/>
      <c r="D113" s="30"/>
    </row>
    <row r="114" spans="1:4">
      <c r="A114" s="32"/>
      <c r="B114" s="32"/>
      <c r="C114" s="30"/>
      <c r="D114" s="30"/>
    </row>
    <row r="115" spans="1:4">
      <c r="A115" s="32"/>
      <c r="B115" s="32"/>
      <c r="C115" s="30"/>
      <c r="D115" s="30"/>
    </row>
    <row r="116" spans="1:4">
      <c r="A116" s="32"/>
      <c r="B116" s="32"/>
      <c r="C116" s="30"/>
      <c r="D116" s="30"/>
    </row>
    <row r="117" spans="1:4">
      <c r="A117" s="32"/>
      <c r="B117" s="32"/>
      <c r="C117" s="30"/>
      <c r="D117" s="30"/>
    </row>
    <row r="118" spans="1:4">
      <c r="A118" s="32"/>
      <c r="B118" s="32"/>
      <c r="C118" s="30"/>
      <c r="D118" s="30"/>
    </row>
    <row r="119" spans="1:4">
      <c r="A119" s="32"/>
      <c r="B119" s="32"/>
      <c r="C119" s="30"/>
      <c r="D119" s="30"/>
    </row>
    <row r="120" spans="1:4">
      <c r="A120" s="32"/>
      <c r="B120" s="32"/>
      <c r="C120" s="30"/>
      <c r="D120" s="30"/>
    </row>
    <row r="121" spans="1:4">
      <c r="A121" s="32"/>
      <c r="B121" s="32"/>
      <c r="C121" s="30"/>
      <c r="D121" s="30"/>
    </row>
    <row r="122" spans="1:4">
      <c r="A122" s="32"/>
      <c r="B122" s="32"/>
      <c r="C122" s="30"/>
      <c r="D122" s="30"/>
    </row>
    <row r="123" spans="1:4">
      <c r="A123" s="32"/>
      <c r="B123" s="32"/>
      <c r="C123" s="30"/>
      <c r="D123" s="30"/>
    </row>
    <row r="124" spans="1:4">
      <c r="C124" s="26"/>
      <c r="D124" s="26"/>
    </row>
    <row r="125" spans="1:4">
      <c r="C125" s="26"/>
      <c r="D125" s="26"/>
    </row>
    <row r="126" spans="1:4">
      <c r="C126" s="26"/>
      <c r="D126" s="26"/>
    </row>
    <row r="127" spans="1:4">
      <c r="C127" s="26"/>
      <c r="D127" s="26"/>
    </row>
    <row r="128" spans="1:4">
      <c r="C128" s="26"/>
      <c r="D128" s="26"/>
    </row>
    <row r="129" spans="3:4">
      <c r="C129" s="26"/>
      <c r="D129" s="26"/>
    </row>
    <row r="130" spans="3:4">
      <c r="C130" s="26"/>
      <c r="D130" s="26"/>
    </row>
    <row r="131" spans="3:4">
      <c r="C131" s="26"/>
      <c r="D131" s="26"/>
    </row>
    <row r="132" spans="3:4">
      <c r="C132" s="26"/>
      <c r="D132" s="26"/>
    </row>
    <row r="133" spans="3:4">
      <c r="C133" s="26"/>
      <c r="D133" s="26"/>
    </row>
    <row r="134" spans="3:4">
      <c r="C134" s="26"/>
      <c r="D134" s="26"/>
    </row>
    <row r="135" spans="3:4">
      <c r="C135" s="26"/>
      <c r="D135" s="26"/>
    </row>
    <row r="136" spans="3:4">
      <c r="C136" s="26"/>
      <c r="D136" s="26"/>
    </row>
    <row r="137" spans="3:4">
      <c r="C137" s="26"/>
      <c r="D137" s="26"/>
    </row>
    <row r="138" spans="3:4">
      <c r="C138" s="26"/>
      <c r="D138" s="26"/>
    </row>
    <row r="139" spans="3:4">
      <c r="C139" s="26"/>
      <c r="D139" s="26"/>
    </row>
    <row r="140" spans="3:4">
      <c r="C140" s="26"/>
      <c r="D140" s="26"/>
    </row>
    <row r="141" spans="3:4">
      <c r="C141" s="26"/>
      <c r="D141" s="26"/>
    </row>
    <row r="142" spans="3:4">
      <c r="C142" s="26"/>
      <c r="D142" s="26"/>
    </row>
    <row r="143" spans="3:4">
      <c r="C143" s="26"/>
      <c r="D143" s="26"/>
    </row>
    <row r="144" spans="3:4">
      <c r="C144" s="26"/>
      <c r="D144" s="26"/>
    </row>
    <row r="145" spans="3:4">
      <c r="C145" s="26"/>
      <c r="D145" s="26"/>
    </row>
    <row r="146" spans="3:4">
      <c r="C146" s="26"/>
      <c r="D146" s="26"/>
    </row>
    <row r="147" spans="3:4">
      <c r="C147" s="26"/>
      <c r="D147" s="26"/>
    </row>
    <row r="148" spans="3:4">
      <c r="C148" s="26"/>
      <c r="D148" s="26"/>
    </row>
    <row r="149" spans="3:4">
      <c r="C149" s="26"/>
      <c r="D149" s="26"/>
    </row>
    <row r="150" spans="3:4">
      <c r="C150" s="26"/>
      <c r="D150" s="26"/>
    </row>
    <row r="151" spans="3:4">
      <c r="C151" s="26"/>
      <c r="D151" s="26"/>
    </row>
    <row r="152" spans="3:4">
      <c r="C152" s="26"/>
      <c r="D152" s="26"/>
    </row>
    <row r="153" spans="3:4">
      <c r="C153" s="26"/>
      <c r="D153" s="26"/>
    </row>
    <row r="154" spans="3:4">
      <c r="C154" s="26"/>
      <c r="D154" s="26"/>
    </row>
    <row r="155" spans="3:4">
      <c r="C155" s="26"/>
      <c r="D155" s="26"/>
    </row>
    <row r="156" spans="3:4">
      <c r="C156" s="26"/>
      <c r="D156" s="26"/>
    </row>
    <row r="157" spans="3:4">
      <c r="C157" s="26"/>
      <c r="D157" s="26"/>
    </row>
    <row r="158" spans="3:4">
      <c r="C158" s="26"/>
      <c r="D158" s="26"/>
    </row>
    <row r="159" spans="3:4">
      <c r="C159" s="26"/>
      <c r="D159" s="26"/>
    </row>
    <row r="160" spans="3:4">
      <c r="C160" s="26"/>
      <c r="D160" s="26"/>
    </row>
    <row r="161" spans="3:4">
      <c r="C161" s="26"/>
      <c r="D161" s="26"/>
    </row>
    <row r="162" spans="3:4">
      <c r="C162" s="26"/>
      <c r="D162" s="26"/>
    </row>
    <row r="163" spans="3:4">
      <c r="C163" s="26"/>
      <c r="D163" s="26"/>
    </row>
    <row r="164" spans="3:4">
      <c r="C164" s="26"/>
      <c r="D164" s="26"/>
    </row>
    <row r="165" spans="3:4">
      <c r="C165" s="26"/>
      <c r="D165" s="26"/>
    </row>
    <row r="166" spans="3:4">
      <c r="C166" s="26"/>
      <c r="D166" s="26"/>
    </row>
    <row r="167" spans="3:4">
      <c r="C167" s="26"/>
      <c r="D167" s="26"/>
    </row>
    <row r="168" spans="3:4">
      <c r="C168" s="26"/>
      <c r="D168" s="26"/>
    </row>
    <row r="169" spans="3:4">
      <c r="C169" s="26"/>
      <c r="D169" s="26"/>
    </row>
    <row r="170" spans="3:4">
      <c r="C170" s="26"/>
      <c r="D170" s="26"/>
    </row>
    <row r="171" spans="3:4">
      <c r="C171" s="26"/>
      <c r="D171" s="26"/>
    </row>
    <row r="172" spans="3:4">
      <c r="C172" s="26"/>
      <c r="D172" s="26"/>
    </row>
    <row r="173" spans="3:4">
      <c r="C173" s="26"/>
      <c r="D173" s="26"/>
    </row>
    <row r="174" spans="3:4">
      <c r="C174" s="26"/>
      <c r="D174" s="26"/>
    </row>
    <row r="175" spans="3:4">
      <c r="C175" s="26"/>
      <c r="D175" s="26"/>
    </row>
    <row r="176" spans="3:4">
      <c r="C176" s="26"/>
      <c r="D176" s="26"/>
    </row>
    <row r="177" spans="3:4">
      <c r="C177" s="26"/>
      <c r="D177" s="26"/>
    </row>
    <row r="178" spans="3:4">
      <c r="C178" s="26"/>
      <c r="D178" s="26"/>
    </row>
    <row r="179" spans="3:4">
      <c r="C179" s="26"/>
      <c r="D179" s="26"/>
    </row>
    <row r="180" spans="3:4">
      <c r="C180" s="26"/>
      <c r="D180" s="26"/>
    </row>
    <row r="181" spans="3:4">
      <c r="C181" s="26"/>
      <c r="D181" s="26"/>
    </row>
  </sheetData>
  <phoneticPr fontId="7" type="noConversion"/>
  <hyperlinks>
    <hyperlink ref="H897" r:id="rId1" display="http://vsolj.cetus-net.org/bulletin.html" xr:uid="{00000000-0004-0000-0000-000000000000}"/>
    <hyperlink ref="H64611" r:id="rId2" display="http://vsolj.cetus-net.org/bulletin.html" xr:uid="{00000000-0004-0000-0000-000001000000}"/>
    <hyperlink ref="H64604" r:id="rId3" display="https://www.aavso.org/ejaavso" xr:uid="{00000000-0004-0000-0000-000002000000}"/>
    <hyperlink ref="AP755" r:id="rId4" display="http://cdsbib.u-strasbg.fr/cgi-bin/cdsbib?1990RMxAA..21..381G" xr:uid="{00000000-0004-0000-0000-000003000000}"/>
    <hyperlink ref="AP759" r:id="rId5" display="http://cdsbib.u-strasbg.fr/cgi-bin/cdsbib?1990RMxAA..21..381G" xr:uid="{00000000-0004-0000-0000-000004000000}"/>
    <hyperlink ref="AP758" r:id="rId6" display="http://cdsbib.u-strasbg.fr/cgi-bin/cdsbib?1990RMxAA..21..381G" xr:uid="{00000000-0004-0000-0000-000005000000}"/>
    <hyperlink ref="AP739" r:id="rId7" display="http://cdsbib.u-strasbg.fr/cgi-bin/cdsbib?1990RMxAA..21..381G" xr:uid="{00000000-0004-0000-0000-000006000000}"/>
    <hyperlink ref="I64611" r:id="rId8" display="http://vsolj.cetus-net.org/bulletin.html" xr:uid="{00000000-0004-0000-0000-000007000000}"/>
    <hyperlink ref="AQ895" r:id="rId9" display="http://cdsbib.u-strasbg.fr/cgi-bin/cdsbib?1990RMxAA..21..381G" xr:uid="{00000000-0004-0000-0000-000008000000}"/>
    <hyperlink ref="AQ55661" r:id="rId10" display="http://cdsbib.u-strasbg.fr/cgi-bin/cdsbib?1990RMxAA..21..381G" xr:uid="{00000000-0004-0000-0000-000009000000}"/>
    <hyperlink ref="AQ896" r:id="rId11" display="http://cdsbib.u-strasbg.fr/cgi-bin/cdsbib?1990RMxAA..21..381G" xr:uid="{00000000-0004-0000-0000-00000A000000}"/>
    <hyperlink ref="H64608" r:id="rId12" display="https://www.aavso.org/ejaavso" xr:uid="{00000000-0004-0000-0000-00000B000000}"/>
    <hyperlink ref="H1781" r:id="rId13" display="http://vsolj.cetus-net.org/bulletin.html" xr:uid="{00000000-0004-0000-0000-00000C000000}"/>
    <hyperlink ref="AP3025" r:id="rId14" display="http://cdsbib.u-strasbg.fr/cgi-bin/cdsbib?1990RMxAA..21..381G" xr:uid="{00000000-0004-0000-0000-00000D000000}"/>
    <hyperlink ref="AP3028" r:id="rId15" display="http://cdsbib.u-strasbg.fr/cgi-bin/cdsbib?1990RMxAA..21..381G" xr:uid="{00000000-0004-0000-0000-00000E000000}"/>
    <hyperlink ref="AP3026" r:id="rId16" display="http://cdsbib.u-strasbg.fr/cgi-bin/cdsbib?1990RMxAA..21..381G" xr:uid="{00000000-0004-0000-0000-00000F000000}"/>
    <hyperlink ref="AP3010" r:id="rId17" display="http://cdsbib.u-strasbg.fr/cgi-bin/cdsbib?1990RMxAA..21..381G" xr:uid="{00000000-0004-0000-0000-000010000000}"/>
    <hyperlink ref="I1781" r:id="rId18" display="http://vsolj.cetus-net.org/bulletin.html" xr:uid="{00000000-0004-0000-0000-000011000000}"/>
    <hyperlink ref="AQ3239" r:id="rId19" display="http://cdsbib.u-strasbg.fr/cgi-bin/cdsbib?1990RMxAA..21..381G" xr:uid="{00000000-0004-0000-0000-000012000000}"/>
    <hyperlink ref="AQ65476" r:id="rId20" display="http://cdsbib.u-strasbg.fr/cgi-bin/cdsbib?1990RMxAA..21..381G" xr:uid="{00000000-0004-0000-0000-000013000000}"/>
    <hyperlink ref="AQ324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"/>
  <sheetViews>
    <sheetView workbookViewId="0">
      <selection activeCell="Q17" sqref="Q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28515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51</v>
      </c>
      <c r="Q1">
        <v>51806.404399999999</v>
      </c>
      <c r="R1">
        <v>0.36181200000000002</v>
      </c>
    </row>
    <row r="2" spans="1:18">
      <c r="A2" t="s">
        <v>25</v>
      </c>
      <c r="B2" t="s">
        <v>47</v>
      </c>
      <c r="C2" s="11" t="s">
        <v>31</v>
      </c>
    </row>
    <row r="3" spans="1:18" ht="13.5" thickBot="1">
      <c r="A3" t="s">
        <v>34</v>
      </c>
    </row>
    <row r="4" spans="1:18">
      <c r="A4" s="8" t="s">
        <v>1</v>
      </c>
      <c r="C4" s="13" t="s">
        <v>33</v>
      </c>
      <c r="D4" s="14" t="s">
        <v>33</v>
      </c>
    </row>
    <row r="6" spans="1:18">
      <c r="A6" s="8" t="s">
        <v>2</v>
      </c>
    </row>
    <row r="7" spans="1:18">
      <c r="A7" t="s">
        <v>3</v>
      </c>
      <c r="C7">
        <v>51806.404399999999</v>
      </c>
      <c r="D7" s="12" t="s">
        <v>32</v>
      </c>
    </row>
    <row r="8" spans="1:18">
      <c r="A8" t="s">
        <v>4</v>
      </c>
      <c r="C8">
        <v>0.36181200000000002</v>
      </c>
      <c r="D8" s="12" t="s">
        <v>32</v>
      </c>
    </row>
    <row r="9" spans="1:18">
      <c r="A9" s="15" t="s">
        <v>37</v>
      </c>
      <c r="B9" s="11"/>
      <c r="C9" s="16">
        <v>8</v>
      </c>
      <c r="D9" s="11" t="s">
        <v>38</v>
      </c>
      <c r="E9" s="11"/>
    </row>
    <row r="10" spans="1:18" ht="13.5" thickBot="1">
      <c r="C10" s="7" t="s">
        <v>20</v>
      </c>
      <c r="D10" s="7" t="s">
        <v>21</v>
      </c>
    </row>
    <row r="11" spans="1:18">
      <c r="A11" t="s">
        <v>16</v>
      </c>
      <c r="C11" s="17">
        <f ca="1">INTERCEPT(INDIRECT($G$11):G991,INDIRECT($F$11):F991)</f>
        <v>4.0817215053839173E-2</v>
      </c>
      <c r="D11" s="6"/>
      <c r="F11" s="18" t="str">
        <f>"F"&amp;E19</f>
        <v>F21</v>
      </c>
      <c r="G11" s="19" t="str">
        <f>"G"&amp;E19</f>
        <v>G21</v>
      </c>
    </row>
    <row r="12" spans="1:18">
      <c r="A12" t="s">
        <v>17</v>
      </c>
      <c r="C12" s="17">
        <f ca="1">SLOPE(INDIRECT($G$11):G991,INDIRECT($F$11):F991)</f>
        <v>6.4263829263357545E-5</v>
      </c>
      <c r="D12" s="6"/>
    </row>
    <row r="13" spans="1:18">
      <c r="A13" t="s">
        <v>19</v>
      </c>
      <c r="C13" s="6" t="s">
        <v>14</v>
      </c>
      <c r="D13" s="20" t="s">
        <v>39</v>
      </c>
      <c r="E13" s="16">
        <v>1</v>
      </c>
    </row>
    <row r="14" spans="1:18">
      <c r="A14" t="s">
        <v>24</v>
      </c>
      <c r="D14" s="20" t="s">
        <v>40</v>
      </c>
      <c r="E14" s="21">
        <f ca="1">NOW()+15018.5+$C$9/24</f>
        <v>60347.409771875005</v>
      </c>
    </row>
    <row r="15" spans="1:18">
      <c r="A15" s="3" t="s">
        <v>18</v>
      </c>
      <c r="C15" s="28">
        <f ca="1">(C7+C11)+(C8+C12)*INT(MAX(F21:F3532))</f>
        <v>56935.317504467203</v>
      </c>
      <c r="D15" s="20" t="s">
        <v>41</v>
      </c>
      <c r="E15" s="21">
        <f ca="1">ROUND(2*(E14-$C$7)/$C$8,0)/2+E13</f>
        <v>23607</v>
      </c>
      <c r="R15">
        <f ca="1">SUM(R24:R64)</f>
        <v>0.1284571791193248</v>
      </c>
    </row>
    <row r="16" spans="1:18">
      <c r="A16" s="8" t="s">
        <v>5</v>
      </c>
      <c r="C16" s="29">
        <f ca="1">+C8+C12</f>
        <v>0.36187626382926336</v>
      </c>
      <c r="D16" s="20" t="s">
        <v>42</v>
      </c>
      <c r="E16" s="19">
        <f ca="1">ROUND(2*(E14-$C$15)/$C$16,0)/2+E13</f>
        <v>9430</v>
      </c>
      <c r="R16">
        <f ca="1">COUNT(R24:R64)</f>
        <v>41</v>
      </c>
    </row>
    <row r="17" spans="1:18" ht="13.5" thickBot="1">
      <c r="A17" s="20" t="s">
        <v>43</v>
      </c>
      <c r="B17" s="11"/>
      <c r="C17" s="11">
        <f>COUNT(C21:C2190)</f>
        <v>44</v>
      </c>
      <c r="D17" s="20" t="s">
        <v>44</v>
      </c>
      <c r="E17" s="22">
        <f ca="1">+$C$15+$C$16*E16-15018.5-$C$9/24</f>
        <v>45328.97733904382</v>
      </c>
      <c r="Q17" t="s">
        <v>59</v>
      </c>
      <c r="R17">
        <f ca="1">SQRT(R15/(R16-1))</f>
        <v>5.6669475716501209E-2</v>
      </c>
    </row>
    <row r="18" spans="1:18">
      <c r="A18" s="8" t="s">
        <v>6</v>
      </c>
      <c r="C18" s="4">
        <f ca="1">+C15</f>
        <v>56935.317504467203</v>
      </c>
      <c r="D18" s="5">
        <f ca="1">+C16</f>
        <v>0.36187626382926336</v>
      </c>
      <c r="E18" s="23" t="s">
        <v>45</v>
      </c>
    </row>
    <row r="19" spans="1:18" ht="13.5" thickTop="1">
      <c r="A19" s="24" t="s">
        <v>46</v>
      </c>
      <c r="E19" s="25">
        <v>21</v>
      </c>
      <c r="F19">
        <v>2.5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30</v>
      </c>
      <c r="I20" s="10" t="s">
        <v>49</v>
      </c>
      <c r="J20" s="10" t="s">
        <v>56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  <c r="R20" s="43" t="s">
        <v>58</v>
      </c>
    </row>
    <row r="21" spans="1:18">
      <c r="A21" t="s">
        <v>32</v>
      </c>
      <c r="B21" s="6" t="s">
        <v>35</v>
      </c>
      <c r="C21" s="26">
        <v>51259.840700000001</v>
      </c>
      <c r="D21" s="26">
        <v>1E-4</v>
      </c>
      <c r="E21">
        <f t="shared" ref="E21:E43" si="0">+(C21-C$7)/C$8</f>
        <v>-1510.6290006964909</v>
      </c>
      <c r="F21">
        <f>ROUND(2*E21,0)/2</f>
        <v>-1510.5</v>
      </c>
      <c r="G21">
        <f t="shared" ref="G21:G43" si="1">+C21-(C$7+F21*C$8)</f>
        <v>-4.6673999997437932E-2</v>
      </c>
      <c r="H21">
        <f t="shared" ref="H21:H28" si="2">+G21</f>
        <v>-4.6673999997437932E-2</v>
      </c>
      <c r="O21">
        <f t="shared" ref="O21:O43" ca="1" si="3">+C$11+C$12*$F21</f>
        <v>-5.6253299048462393E-2</v>
      </c>
      <c r="Q21" s="2">
        <f t="shared" ref="Q21:Q43" si="4">+C21-15018.5</f>
        <v>36241.340700000001</v>
      </c>
    </row>
    <row r="22" spans="1:18">
      <c r="A22" t="s">
        <v>32</v>
      </c>
      <c r="B22" s="6" t="s">
        <v>36</v>
      </c>
      <c r="C22" s="26">
        <v>51291.822899999999</v>
      </c>
      <c r="D22" s="26">
        <v>1.5E-3</v>
      </c>
      <c r="E22">
        <f t="shared" si="0"/>
        <v>-1422.2344753628961</v>
      </c>
      <c r="F22">
        <f>ROUND(2*E22,0)/2</f>
        <v>-1422</v>
      </c>
      <c r="G22">
        <f t="shared" si="1"/>
        <v>-8.4836000001814682E-2</v>
      </c>
      <c r="H22">
        <f t="shared" si="2"/>
        <v>-8.4836000001814682E-2</v>
      </c>
      <c r="O22">
        <f t="shared" ca="1" si="3"/>
        <v>-5.0565950158655254E-2</v>
      </c>
      <c r="Q22" s="2">
        <f t="shared" si="4"/>
        <v>36273.322899999999</v>
      </c>
    </row>
    <row r="23" spans="1:18">
      <c r="A23" t="s">
        <v>32</v>
      </c>
      <c r="B23" s="6"/>
      <c r="C23" s="26">
        <v>51806.404399999999</v>
      </c>
      <c r="D23" s="26" t="s">
        <v>14</v>
      </c>
      <c r="E23">
        <f t="shared" si="0"/>
        <v>0</v>
      </c>
      <c r="F23">
        <f>ROUND(2*E23,0)/2</f>
        <v>0</v>
      </c>
      <c r="G23">
        <f t="shared" si="1"/>
        <v>0</v>
      </c>
      <c r="H23">
        <f t="shared" si="2"/>
        <v>0</v>
      </c>
      <c r="O23">
        <f t="shared" ca="1" si="3"/>
        <v>4.0817215053839173E-2</v>
      </c>
      <c r="Q23" s="2">
        <f t="shared" si="4"/>
        <v>36787.904399999999</v>
      </c>
    </row>
    <row r="24" spans="1:18">
      <c r="A24" s="30" t="s">
        <v>48</v>
      </c>
      <c r="B24" s="31" t="s">
        <v>35</v>
      </c>
      <c r="C24" s="30">
        <v>56218.521099999998</v>
      </c>
      <c r="D24" s="30">
        <v>2.0999999999999999E-3</v>
      </c>
      <c r="E24" s="32">
        <f t="shared" si="0"/>
        <v>12194.500735188436</v>
      </c>
      <c r="F24" s="27">
        <f t="shared" ref="F24:F64" si="5">ROUND(2*E24,0)/2-F$19</f>
        <v>12192</v>
      </c>
      <c r="G24">
        <f t="shared" si="1"/>
        <v>0.90479599999525817</v>
      </c>
      <c r="H24">
        <f t="shared" si="2"/>
        <v>0.90479599999525817</v>
      </c>
      <c r="O24">
        <f t="shared" ca="1" si="3"/>
        <v>0.82432182143269439</v>
      </c>
      <c r="Q24" s="2">
        <f t="shared" si="4"/>
        <v>41200.021099999998</v>
      </c>
      <c r="R24">
        <f ca="1">(G24-O24)^2</f>
        <v>6.4760934153194E-3</v>
      </c>
    </row>
    <row r="25" spans="1:18">
      <c r="A25" s="30" t="s">
        <v>48</v>
      </c>
      <c r="B25" s="31" t="s">
        <v>35</v>
      </c>
      <c r="C25" s="30">
        <v>56220.514499999997</v>
      </c>
      <c r="D25" s="30">
        <v>2.2000000000000001E-3</v>
      </c>
      <c r="E25" s="32">
        <f t="shared" si="0"/>
        <v>12200.010226305369</v>
      </c>
      <c r="F25" s="27">
        <f t="shared" si="5"/>
        <v>12197.5</v>
      </c>
      <c r="G25">
        <f t="shared" si="1"/>
        <v>0.9082300000009127</v>
      </c>
      <c r="H25">
        <f t="shared" si="2"/>
        <v>0.9082300000009127</v>
      </c>
      <c r="O25">
        <f t="shared" ca="1" si="3"/>
        <v>0.82467527249364281</v>
      </c>
      <c r="Q25" s="2">
        <f t="shared" si="4"/>
        <v>41202.014499999997</v>
      </c>
      <c r="R25">
        <f t="shared" ref="R25:R64" ca="1" si="6">(G25-O25)^2</f>
        <v>6.9813924888141232E-3</v>
      </c>
    </row>
    <row r="26" spans="1:18">
      <c r="A26" s="30" t="s">
        <v>48</v>
      </c>
      <c r="B26" s="31" t="s">
        <v>35</v>
      </c>
      <c r="C26" s="30">
        <v>56221.391900000002</v>
      </c>
      <c r="D26" s="30">
        <v>2.5000000000000001E-3</v>
      </c>
      <c r="E26" s="32">
        <f t="shared" si="0"/>
        <v>12202.435242612193</v>
      </c>
      <c r="F26" s="27">
        <f t="shared" si="5"/>
        <v>12200</v>
      </c>
      <c r="G26">
        <f t="shared" si="1"/>
        <v>0.88109999999869615</v>
      </c>
      <c r="H26">
        <f t="shared" si="2"/>
        <v>0.88109999999869615</v>
      </c>
      <c r="O26">
        <f t="shared" ca="1" si="3"/>
        <v>0.82483593206680117</v>
      </c>
      <c r="Q26" s="2">
        <f t="shared" si="4"/>
        <v>41202.891900000002</v>
      </c>
      <c r="R26">
        <f t="shared" ca="1" si="6"/>
        <v>3.1656453402448929E-3</v>
      </c>
    </row>
    <row r="27" spans="1:18">
      <c r="A27" s="30" t="s">
        <v>48</v>
      </c>
      <c r="B27" s="31" t="s">
        <v>35</v>
      </c>
      <c r="C27" s="30">
        <v>56222.276400000002</v>
      </c>
      <c r="D27" s="30">
        <v>2.8E-3</v>
      </c>
      <c r="E27" s="32">
        <f t="shared" si="0"/>
        <v>12204.879882369858</v>
      </c>
      <c r="F27" s="27">
        <f t="shared" si="5"/>
        <v>12202.5</v>
      </c>
      <c r="G27">
        <f t="shared" si="1"/>
        <v>0.86106999999901745</v>
      </c>
      <c r="H27">
        <f t="shared" si="2"/>
        <v>0.86106999999901745</v>
      </c>
      <c r="O27">
        <f t="shared" ca="1" si="3"/>
        <v>0.82499659163995964</v>
      </c>
      <c r="Q27" s="2">
        <f t="shared" si="4"/>
        <v>41203.776400000002</v>
      </c>
      <c r="R27">
        <f t="shared" ca="1" si="6"/>
        <v>1.3012907906393421E-3</v>
      </c>
    </row>
    <row r="28" spans="1:18">
      <c r="A28" s="30" t="s">
        <v>48</v>
      </c>
      <c r="B28" s="31" t="s">
        <v>35</v>
      </c>
      <c r="C28" s="30">
        <v>56225.379099999998</v>
      </c>
      <c r="D28" s="30">
        <v>2.8E-3</v>
      </c>
      <c r="E28" s="32">
        <f t="shared" si="0"/>
        <v>12213.455330392575</v>
      </c>
      <c r="F28" s="27">
        <f t="shared" si="5"/>
        <v>12211</v>
      </c>
      <c r="G28">
        <f t="shared" si="1"/>
        <v>0.88836799999990035</v>
      </c>
      <c r="H28">
        <f t="shared" si="2"/>
        <v>0.88836799999990035</v>
      </c>
      <c r="O28">
        <f t="shared" ca="1" si="3"/>
        <v>0.82554283418869812</v>
      </c>
      <c r="Q28" s="2">
        <f t="shared" si="4"/>
        <v>41206.879099999998</v>
      </c>
      <c r="R28">
        <f t="shared" ca="1" si="6"/>
        <v>3.9470014592050537E-3</v>
      </c>
    </row>
    <row r="29" spans="1:18">
      <c r="A29" s="33" t="s">
        <v>50</v>
      </c>
      <c r="B29" s="32"/>
      <c r="C29" s="30">
        <v>56417.9421</v>
      </c>
      <c r="D29" s="30">
        <v>2.9999999999999997E-4</v>
      </c>
      <c r="E29" s="32">
        <f t="shared" si="0"/>
        <v>12745.67372005351</v>
      </c>
      <c r="F29" s="27">
        <f t="shared" si="5"/>
        <v>12743</v>
      </c>
      <c r="G29">
        <f t="shared" si="1"/>
        <v>0.96738400000322144</v>
      </c>
      <c r="I29">
        <f>+G29</f>
        <v>0.96738400000322144</v>
      </c>
      <c r="O29">
        <f t="shared" ca="1" si="3"/>
        <v>0.85973119135680431</v>
      </c>
      <c r="Q29" s="2">
        <f t="shared" si="4"/>
        <v>41399.4421</v>
      </c>
      <c r="R29">
        <f t="shared" ca="1" si="6"/>
        <v>1.1589127209462103E-2</v>
      </c>
    </row>
    <row r="30" spans="1:18">
      <c r="A30" s="30" t="s">
        <v>48</v>
      </c>
      <c r="B30" s="31" t="s">
        <v>35</v>
      </c>
      <c r="C30" s="30">
        <v>56480.502</v>
      </c>
      <c r="D30" s="30">
        <v>2.8E-3</v>
      </c>
      <c r="E30" s="32">
        <f t="shared" si="0"/>
        <v>12918.58092047804</v>
      </c>
      <c r="F30" s="27">
        <f t="shared" si="5"/>
        <v>12916</v>
      </c>
      <c r="G30">
        <f t="shared" si="1"/>
        <v>0.9338080000015907</v>
      </c>
      <c r="H30">
        <f t="shared" ref="H30:H56" si="7">+G30</f>
        <v>0.9338080000015907</v>
      </c>
      <c r="O30">
        <f t="shared" ca="1" si="3"/>
        <v>0.87084883381936518</v>
      </c>
      <c r="Q30" s="2">
        <f t="shared" si="4"/>
        <v>41462.002</v>
      </c>
      <c r="R30">
        <f t="shared" ca="1" si="6"/>
        <v>3.9638566063610898E-3</v>
      </c>
    </row>
    <row r="31" spans="1:18">
      <c r="A31" s="30" t="s">
        <v>48</v>
      </c>
      <c r="B31" s="31" t="s">
        <v>35</v>
      </c>
      <c r="C31" s="30">
        <v>56486.475100000003</v>
      </c>
      <c r="D31" s="30">
        <v>2.5000000000000001E-3</v>
      </c>
      <c r="E31" s="32">
        <f t="shared" si="0"/>
        <v>12935.089770377996</v>
      </c>
      <c r="F31" s="27">
        <f t="shared" si="5"/>
        <v>12932.5</v>
      </c>
      <c r="G31">
        <f t="shared" si="1"/>
        <v>0.9370100000014645</v>
      </c>
      <c r="H31">
        <f t="shared" si="7"/>
        <v>0.9370100000014645</v>
      </c>
      <c r="O31">
        <f t="shared" ca="1" si="3"/>
        <v>0.87190918700221065</v>
      </c>
      <c r="Q31" s="2">
        <f t="shared" si="4"/>
        <v>41467.975100000003</v>
      </c>
      <c r="R31">
        <f t="shared" ca="1" si="6"/>
        <v>4.2381158531638197E-3</v>
      </c>
    </row>
    <row r="32" spans="1:18">
      <c r="A32" s="30" t="s">
        <v>48</v>
      </c>
      <c r="B32" s="31" t="s">
        <v>35</v>
      </c>
      <c r="C32" s="30">
        <v>56505.482300000003</v>
      </c>
      <c r="D32" s="30">
        <v>2E-3</v>
      </c>
      <c r="E32" s="32">
        <f t="shared" si="0"/>
        <v>12987.623130244447</v>
      </c>
      <c r="F32" s="27">
        <f t="shared" si="5"/>
        <v>12985</v>
      </c>
      <c r="G32">
        <f t="shared" si="1"/>
        <v>0.94908000000577886</v>
      </c>
      <c r="H32">
        <f t="shared" si="7"/>
        <v>0.94908000000577886</v>
      </c>
      <c r="O32">
        <f t="shared" ca="1" si="3"/>
        <v>0.87528303803853691</v>
      </c>
      <c r="Q32" s="2">
        <f t="shared" si="4"/>
        <v>41486.982300000003</v>
      </c>
      <c r="R32">
        <f t="shared" ca="1" si="6"/>
        <v>5.4459915955945544E-3</v>
      </c>
    </row>
    <row r="33" spans="1:18">
      <c r="A33" s="37" t="s">
        <v>52</v>
      </c>
      <c r="B33" s="38" t="s">
        <v>35</v>
      </c>
      <c r="C33" s="30">
        <v>56515.407500000001</v>
      </c>
      <c r="D33" s="39">
        <v>3.5000000000000001E-3</v>
      </c>
      <c r="E33" s="32">
        <f t="shared" si="0"/>
        <v>13015.055056217045</v>
      </c>
      <c r="F33" s="27">
        <f t="shared" si="5"/>
        <v>13012.5</v>
      </c>
      <c r="G33">
        <f t="shared" si="1"/>
        <v>0.92444999999861466</v>
      </c>
      <c r="H33">
        <f t="shared" si="7"/>
        <v>0.92444999999861466</v>
      </c>
      <c r="O33">
        <f t="shared" ca="1" si="3"/>
        <v>0.87705029334327922</v>
      </c>
      <c r="Q33" s="2">
        <f t="shared" si="4"/>
        <v>41496.907500000001</v>
      </c>
      <c r="R33">
        <f t="shared" ca="1" si="6"/>
        <v>2.2467321910118509E-3</v>
      </c>
    </row>
    <row r="34" spans="1:18">
      <c r="A34" s="37" t="s">
        <v>52</v>
      </c>
      <c r="B34" s="38" t="s">
        <v>35</v>
      </c>
      <c r="C34" s="30">
        <v>56540.423300000002</v>
      </c>
      <c r="D34" s="39">
        <v>3.5000000000000001E-3</v>
      </c>
      <c r="E34" s="32">
        <f t="shared" si="0"/>
        <v>13084.195383237711</v>
      </c>
      <c r="F34" s="27">
        <f t="shared" si="5"/>
        <v>13081.5</v>
      </c>
      <c r="G34">
        <f t="shared" si="1"/>
        <v>0.97522200000094017</v>
      </c>
      <c r="H34">
        <f t="shared" si="7"/>
        <v>0.97522200000094017</v>
      </c>
      <c r="O34">
        <f t="shared" ca="1" si="3"/>
        <v>0.88148449756245084</v>
      </c>
      <c r="Q34" s="2">
        <f t="shared" si="4"/>
        <v>41521.923300000002</v>
      </c>
      <c r="R34">
        <f t="shared" ca="1" si="6"/>
        <v>8.7867193634057934E-3</v>
      </c>
    </row>
    <row r="35" spans="1:18">
      <c r="A35" s="37" t="s">
        <v>52</v>
      </c>
      <c r="B35" s="38" t="s">
        <v>35</v>
      </c>
      <c r="C35" s="30">
        <v>56560.337800000001</v>
      </c>
      <c r="D35" s="39">
        <v>1.6999999999999999E-3</v>
      </c>
      <c r="E35" s="32">
        <f t="shared" si="0"/>
        <v>13139.236399013856</v>
      </c>
      <c r="F35" s="27">
        <f t="shared" si="5"/>
        <v>13136.5</v>
      </c>
      <c r="G35">
        <f t="shared" si="1"/>
        <v>0.99006200000440003</v>
      </c>
      <c r="H35">
        <f t="shared" si="7"/>
        <v>0.99006200000440003</v>
      </c>
      <c r="O35">
        <f t="shared" ca="1" si="3"/>
        <v>0.88501900817193557</v>
      </c>
      <c r="Q35" s="2">
        <f t="shared" si="4"/>
        <v>41541.837800000001</v>
      </c>
      <c r="R35">
        <f t="shared" ca="1" si="6"/>
        <v>1.1034030133115196E-2</v>
      </c>
    </row>
    <row r="36" spans="1:18">
      <c r="A36" s="37" t="s">
        <v>52</v>
      </c>
      <c r="B36" s="38" t="s">
        <v>35</v>
      </c>
      <c r="C36" s="30">
        <v>56560.547200000001</v>
      </c>
      <c r="D36" s="39">
        <v>3.0000000000000001E-3</v>
      </c>
      <c r="E36" s="32">
        <f t="shared" si="0"/>
        <v>13139.815152620702</v>
      </c>
      <c r="F36" s="27">
        <f t="shared" si="5"/>
        <v>13137.5</v>
      </c>
      <c r="G36">
        <f t="shared" si="1"/>
        <v>0.83765000000130385</v>
      </c>
      <c r="H36">
        <f t="shared" si="7"/>
        <v>0.83765000000130385</v>
      </c>
      <c r="O36">
        <f t="shared" ca="1" si="3"/>
        <v>0.88508327200119896</v>
      </c>
      <c r="Q36" s="2">
        <f t="shared" si="4"/>
        <v>41542.047200000001</v>
      </c>
      <c r="R36">
        <f t="shared" ca="1" si="6"/>
        <v>2.2499152926160333E-3</v>
      </c>
    </row>
    <row r="37" spans="1:18">
      <c r="A37" s="37" t="s">
        <v>52</v>
      </c>
      <c r="B37" s="38" t="s">
        <v>35</v>
      </c>
      <c r="C37" s="30">
        <v>56568.508300000001</v>
      </c>
      <c r="D37" s="39">
        <v>1.6999999999999999E-3</v>
      </c>
      <c r="E37" s="32">
        <f t="shared" si="0"/>
        <v>13161.818568759471</v>
      </c>
      <c r="F37" s="27">
        <f t="shared" si="5"/>
        <v>13159.5</v>
      </c>
      <c r="G37">
        <f t="shared" si="1"/>
        <v>0.8388859999977285</v>
      </c>
      <c r="H37">
        <f t="shared" si="7"/>
        <v>0.8388859999977285</v>
      </c>
      <c r="O37">
        <f t="shared" ca="1" si="3"/>
        <v>0.88649707624499274</v>
      </c>
      <c r="Q37" s="2">
        <f t="shared" si="4"/>
        <v>41550.008300000001</v>
      </c>
      <c r="R37">
        <f t="shared" ca="1" si="6"/>
        <v>2.266814581422809E-3</v>
      </c>
    </row>
    <row r="38" spans="1:18">
      <c r="A38" s="37" t="s">
        <v>52</v>
      </c>
      <c r="B38" s="38" t="s">
        <v>35</v>
      </c>
      <c r="C38" s="30">
        <v>56579.335800000001</v>
      </c>
      <c r="D38" s="39">
        <v>2.3999999999999998E-3</v>
      </c>
      <c r="E38" s="32">
        <f t="shared" si="0"/>
        <v>13191.744331310187</v>
      </c>
      <c r="F38" s="27">
        <f t="shared" si="5"/>
        <v>13189</v>
      </c>
      <c r="G38">
        <f t="shared" si="1"/>
        <v>0.99293200000101933</v>
      </c>
      <c r="H38">
        <f t="shared" si="7"/>
        <v>0.99293200000101933</v>
      </c>
      <c r="O38">
        <f t="shared" ca="1" si="3"/>
        <v>0.88839285920826183</v>
      </c>
      <c r="Q38" s="2">
        <f t="shared" si="4"/>
        <v>41560.835800000001</v>
      </c>
      <c r="R38">
        <f t="shared" ca="1" si="6"/>
        <v>1.0928431957687975E-2</v>
      </c>
    </row>
    <row r="39" spans="1:18">
      <c r="A39" s="37" t="s">
        <v>52</v>
      </c>
      <c r="B39" s="38" t="s">
        <v>35</v>
      </c>
      <c r="C39" s="30">
        <v>56596.373899999999</v>
      </c>
      <c r="D39" s="39">
        <v>1.8E-3</v>
      </c>
      <c r="E39" s="32">
        <f t="shared" si="0"/>
        <v>13238.835362011207</v>
      </c>
      <c r="F39" s="27">
        <f t="shared" si="5"/>
        <v>13236.5</v>
      </c>
      <c r="G39">
        <f t="shared" si="1"/>
        <v>0.84496199999557575</v>
      </c>
      <c r="H39">
        <f t="shared" si="7"/>
        <v>0.84496199999557575</v>
      </c>
      <c r="O39">
        <f t="shared" ca="1" si="3"/>
        <v>0.89144539109827137</v>
      </c>
      <c r="Q39" s="2">
        <f t="shared" si="4"/>
        <v>41577.873899999999</v>
      </c>
      <c r="R39">
        <f t="shared" ca="1" si="6"/>
        <v>2.1607056484061618E-3</v>
      </c>
    </row>
    <row r="40" spans="1:18">
      <c r="A40" s="37" t="s">
        <v>52</v>
      </c>
      <c r="B40" s="38" t="s">
        <v>35</v>
      </c>
      <c r="C40" s="30">
        <v>56608.298199999997</v>
      </c>
      <c r="D40" s="39">
        <v>1.2999999999999999E-3</v>
      </c>
      <c r="E40" s="32">
        <f t="shared" si="0"/>
        <v>13271.792533138751</v>
      </c>
      <c r="F40" s="27">
        <f t="shared" si="5"/>
        <v>13269.5</v>
      </c>
      <c r="G40">
        <f t="shared" si="1"/>
        <v>0.82946599999559112</v>
      </c>
      <c r="H40">
        <f t="shared" si="7"/>
        <v>0.82946599999559112</v>
      </c>
      <c r="O40">
        <f t="shared" ca="1" si="3"/>
        <v>0.89356609746396209</v>
      </c>
      <c r="Q40" s="2">
        <f t="shared" si="4"/>
        <v>41589.798199999997</v>
      </c>
      <c r="R40">
        <f t="shared" ca="1" si="6"/>
        <v>4.1088224954546589E-3</v>
      </c>
    </row>
    <row r="41" spans="1:18">
      <c r="A41" s="37" t="s">
        <v>52</v>
      </c>
      <c r="B41" s="38" t="s">
        <v>35</v>
      </c>
      <c r="C41" s="30">
        <v>56623.326200000003</v>
      </c>
      <c r="D41" s="39">
        <v>1E-3</v>
      </c>
      <c r="E41" s="32">
        <f t="shared" si="0"/>
        <v>13313.32791615536</v>
      </c>
      <c r="F41" s="27">
        <f t="shared" si="5"/>
        <v>13311</v>
      </c>
      <c r="G41">
        <f t="shared" si="1"/>
        <v>0.84226800000033109</v>
      </c>
      <c r="H41">
        <f t="shared" si="7"/>
        <v>0.84226800000033109</v>
      </c>
      <c r="O41">
        <f t="shared" ca="1" si="3"/>
        <v>0.89623304637839141</v>
      </c>
      <c r="Q41" s="2">
        <f t="shared" si="4"/>
        <v>41604.826200000003</v>
      </c>
      <c r="R41">
        <f t="shared" ca="1" si="6"/>
        <v>2.9122262305862016E-3</v>
      </c>
    </row>
    <row r="42" spans="1:18">
      <c r="A42" s="37" t="s">
        <v>52</v>
      </c>
      <c r="B42" s="38" t="s">
        <v>35</v>
      </c>
      <c r="C42" s="30">
        <v>56647.214</v>
      </c>
      <c r="D42" s="39">
        <v>1.9E-3</v>
      </c>
      <c r="E42" s="32">
        <f t="shared" si="0"/>
        <v>13379.350601970085</v>
      </c>
      <c r="F42" s="27">
        <f t="shared" si="5"/>
        <v>13377</v>
      </c>
      <c r="G42">
        <f t="shared" si="1"/>
        <v>0.85047599999961676</v>
      </c>
      <c r="H42">
        <f t="shared" si="7"/>
        <v>0.85047599999961676</v>
      </c>
      <c r="O42">
        <f t="shared" ca="1" si="3"/>
        <v>0.90047445910977308</v>
      </c>
      <c r="Q42" s="2">
        <f t="shared" si="4"/>
        <v>41628.714</v>
      </c>
      <c r="R42">
        <f t="shared" ca="1" si="6"/>
        <v>2.499845913389974E-3</v>
      </c>
    </row>
    <row r="43" spans="1:18">
      <c r="A43" s="37" t="s">
        <v>52</v>
      </c>
      <c r="B43" s="38" t="s">
        <v>35</v>
      </c>
      <c r="C43" s="30">
        <v>56675.294800000003</v>
      </c>
      <c r="D43" s="39">
        <v>1.6999999999999999E-3</v>
      </c>
      <c r="E43" s="32">
        <f t="shared" si="0"/>
        <v>13456.962179253323</v>
      </c>
      <c r="F43" s="27">
        <f t="shared" si="5"/>
        <v>13454.5</v>
      </c>
      <c r="G43">
        <f t="shared" si="1"/>
        <v>0.89084600000205683</v>
      </c>
      <c r="H43">
        <f t="shared" si="7"/>
        <v>0.89084600000205683</v>
      </c>
      <c r="O43">
        <f t="shared" ca="1" si="3"/>
        <v>0.90545490587768329</v>
      </c>
      <c r="Q43" s="2">
        <f t="shared" si="4"/>
        <v>41656.794800000003</v>
      </c>
      <c r="R43">
        <f t="shared" ca="1" si="6"/>
        <v>2.1342013088291347E-4</v>
      </c>
    </row>
    <row r="44" spans="1:18">
      <c r="A44" s="36" t="s">
        <v>53</v>
      </c>
      <c r="B44" s="34" t="s">
        <v>35</v>
      </c>
      <c r="C44" s="36">
        <v>56815.461300000003</v>
      </c>
      <c r="D44" s="36">
        <v>2.3E-3</v>
      </c>
      <c r="E44" s="32">
        <f t="shared" ref="E44:E64" si="8">+(C44-C$7)/C$8</f>
        <v>13844.36364741911</v>
      </c>
      <c r="F44" s="27">
        <f t="shared" si="5"/>
        <v>13842</v>
      </c>
      <c r="G44">
        <f t="shared" ref="G44:G64" si="9">+C44-(C$7+F44*C$8)</f>
        <v>0.85519600000407081</v>
      </c>
      <c r="H44">
        <f t="shared" si="7"/>
        <v>0.85519600000407081</v>
      </c>
      <c r="O44">
        <f t="shared" ref="O44:O64" ca="1" si="10">+C$11+C$12*$F44</f>
        <v>0.93035713971723433</v>
      </c>
      <c r="Q44" s="2">
        <f t="shared" ref="Q44:Q64" si="11">+C44-15018.5</f>
        <v>41796.961300000003</v>
      </c>
      <c r="R44">
        <f t="shared" ca="1" si="6"/>
        <v>5.6491969229816854E-3</v>
      </c>
    </row>
    <row r="45" spans="1:18">
      <c r="A45" s="36" t="s">
        <v>53</v>
      </c>
      <c r="B45" s="34" t="s">
        <v>35</v>
      </c>
      <c r="C45" s="36">
        <v>56821.430500000002</v>
      </c>
      <c r="D45" s="36">
        <v>2.8E-3</v>
      </c>
      <c r="E45" s="32">
        <f t="shared" si="8"/>
        <v>13860.86171824042</v>
      </c>
      <c r="F45" s="27">
        <f t="shared" si="5"/>
        <v>13858.5</v>
      </c>
      <c r="G45">
        <f t="shared" si="9"/>
        <v>0.8544980000006035</v>
      </c>
      <c r="H45">
        <f t="shared" si="7"/>
        <v>0.8544980000006035</v>
      </c>
      <c r="O45">
        <f t="shared" ca="1" si="10"/>
        <v>0.93141749290007969</v>
      </c>
      <c r="Q45" s="2">
        <f t="shared" si="11"/>
        <v>41802.930500000002</v>
      </c>
      <c r="R45">
        <f t="shared" ca="1" si="6"/>
        <v>5.9166083879125687E-3</v>
      </c>
    </row>
    <row r="46" spans="1:18">
      <c r="A46" s="36" t="s">
        <v>54</v>
      </c>
      <c r="B46" s="40"/>
      <c r="C46" s="36">
        <v>56830.498</v>
      </c>
      <c r="D46" s="36">
        <v>2.0000000000000001E-4</v>
      </c>
      <c r="E46" s="32">
        <f t="shared" si="8"/>
        <v>13885.923076072657</v>
      </c>
      <c r="F46" s="27">
        <f t="shared" si="5"/>
        <v>13883.5</v>
      </c>
      <c r="G46">
        <f t="shared" si="9"/>
        <v>0.87669800000003306</v>
      </c>
      <c r="H46">
        <f t="shared" si="7"/>
        <v>0.87669800000003306</v>
      </c>
      <c r="O46">
        <f t="shared" ca="1" si="10"/>
        <v>0.93302408863166364</v>
      </c>
      <c r="Q46" s="2">
        <f t="shared" si="11"/>
        <v>41811.998</v>
      </c>
      <c r="R46">
        <f t="shared" ca="1" si="6"/>
        <v>3.1726282605383034E-3</v>
      </c>
    </row>
    <row r="47" spans="1:18">
      <c r="A47" s="36" t="s">
        <v>54</v>
      </c>
      <c r="B47" s="40"/>
      <c r="C47" s="36">
        <v>56855.485500000003</v>
      </c>
      <c r="D47" s="36">
        <v>2.0000000000000001E-4</v>
      </c>
      <c r="E47" s="32">
        <f t="shared" si="8"/>
        <v>13954.985185676547</v>
      </c>
      <c r="F47" s="27">
        <f t="shared" si="5"/>
        <v>13952.5</v>
      </c>
      <c r="G47">
        <f t="shared" si="9"/>
        <v>0.89917000000423286</v>
      </c>
      <c r="H47">
        <f t="shared" si="7"/>
        <v>0.89917000000423286</v>
      </c>
      <c r="O47">
        <f t="shared" ca="1" si="10"/>
        <v>0.93745829285083526</v>
      </c>
      <c r="Q47" s="2">
        <f t="shared" si="11"/>
        <v>41836.985500000003</v>
      </c>
      <c r="R47">
        <f t="shared" ca="1" si="6"/>
        <v>1.4659933691071846E-3</v>
      </c>
    </row>
    <row r="48" spans="1:18">
      <c r="A48" s="36" t="s">
        <v>54</v>
      </c>
      <c r="B48" s="40"/>
      <c r="C48" s="36">
        <v>56871.408499999998</v>
      </c>
      <c r="D48" s="36">
        <v>2.9999999999999997E-4</v>
      </c>
      <c r="E48" s="32">
        <f t="shared" si="8"/>
        <v>13998.994229047124</v>
      </c>
      <c r="F48" s="27">
        <f t="shared" si="5"/>
        <v>13996.5</v>
      </c>
      <c r="G48">
        <f t="shared" si="9"/>
        <v>0.90244199999870034</v>
      </c>
      <c r="H48">
        <f t="shared" si="7"/>
        <v>0.90244199999870034</v>
      </c>
      <c r="O48">
        <f t="shared" ca="1" si="10"/>
        <v>0.94028590133842305</v>
      </c>
      <c r="Q48" s="2">
        <f t="shared" si="11"/>
        <v>41852.908499999998</v>
      </c>
      <c r="R48">
        <f t="shared" ca="1" si="6"/>
        <v>1.4321608686106661E-3</v>
      </c>
    </row>
    <row r="49" spans="1:18">
      <c r="A49" s="36" t="s">
        <v>54</v>
      </c>
      <c r="B49" s="40"/>
      <c r="C49" s="36">
        <v>56921.376700000001</v>
      </c>
      <c r="D49" s="36">
        <v>2.0000000000000001E-4</v>
      </c>
      <c r="E49" s="32">
        <f t="shared" si="8"/>
        <v>14137.09965396394</v>
      </c>
      <c r="F49" s="27">
        <f t="shared" si="5"/>
        <v>14134.5</v>
      </c>
      <c r="G49">
        <f t="shared" si="9"/>
        <v>0.9405860000042594</v>
      </c>
      <c r="H49">
        <f t="shared" si="7"/>
        <v>0.9405860000042594</v>
      </c>
      <c r="O49">
        <f t="shared" ca="1" si="10"/>
        <v>0.9491543097767664</v>
      </c>
      <c r="Q49" s="2">
        <f t="shared" si="11"/>
        <v>41902.876700000001</v>
      </c>
      <c r="R49">
        <f t="shared" ca="1" si="6"/>
        <v>7.3415932357638944E-5</v>
      </c>
    </row>
    <row r="50" spans="1:18">
      <c r="A50" s="36" t="s">
        <v>54</v>
      </c>
      <c r="B50" s="40"/>
      <c r="C50" s="36">
        <v>56923.370499999997</v>
      </c>
      <c r="D50" s="36">
        <v>5.9999999999999995E-4</v>
      </c>
      <c r="E50" s="32">
        <f t="shared" si="8"/>
        <v>14142.610250627391</v>
      </c>
      <c r="F50" s="27">
        <f t="shared" si="5"/>
        <v>14140</v>
      </c>
      <c r="G50">
        <f t="shared" si="9"/>
        <v>0.94441999999980908</v>
      </c>
      <c r="H50">
        <f t="shared" si="7"/>
        <v>0.94441999999980908</v>
      </c>
      <c r="O50">
        <f t="shared" ca="1" si="10"/>
        <v>0.94950776083771482</v>
      </c>
      <c r="Q50" s="2">
        <f t="shared" si="11"/>
        <v>41904.870499999997</v>
      </c>
      <c r="R50">
        <f t="shared" ca="1" si="6"/>
        <v>2.5885310343727334E-5</v>
      </c>
    </row>
    <row r="51" spans="1:18">
      <c r="A51" s="36" t="s">
        <v>54</v>
      </c>
      <c r="B51" s="40"/>
      <c r="C51" s="36">
        <v>56931.306799999998</v>
      </c>
      <c r="D51" s="36">
        <v>2.9999999999999997E-4</v>
      </c>
      <c r="E51" s="32">
        <f t="shared" si="8"/>
        <v>14164.545122881493</v>
      </c>
      <c r="F51" s="27">
        <f t="shared" si="5"/>
        <v>14162</v>
      </c>
      <c r="G51">
        <f t="shared" si="9"/>
        <v>0.92085599999700207</v>
      </c>
      <c r="H51">
        <f t="shared" si="7"/>
        <v>0.92085599999700207</v>
      </c>
      <c r="O51">
        <f t="shared" ca="1" si="10"/>
        <v>0.95092156508150871</v>
      </c>
      <c r="Q51" s="2">
        <f t="shared" si="11"/>
        <v>41912.806799999998</v>
      </c>
      <c r="R51">
        <f t="shared" ca="1" si="6"/>
        <v>9.0393820385070473E-4</v>
      </c>
    </row>
    <row r="52" spans="1:18">
      <c r="A52" s="36" t="s">
        <v>54</v>
      </c>
      <c r="B52" s="40"/>
      <c r="C52" s="36">
        <v>56931.552499999998</v>
      </c>
      <c r="D52" s="36">
        <v>2.9999999999999997E-4</v>
      </c>
      <c r="E52" s="32">
        <f t="shared" si="8"/>
        <v>14165.224204835655</v>
      </c>
      <c r="F52" s="27">
        <f t="shared" si="5"/>
        <v>14162.5</v>
      </c>
      <c r="G52">
        <f t="shared" si="9"/>
        <v>0.98564999999507563</v>
      </c>
      <c r="H52">
        <f t="shared" si="7"/>
        <v>0.98564999999507563</v>
      </c>
      <c r="O52">
        <f t="shared" ca="1" si="10"/>
        <v>0.95095369699614041</v>
      </c>
      <c r="Q52" s="2">
        <f t="shared" si="11"/>
        <v>41913.052499999998</v>
      </c>
      <c r="R52">
        <f t="shared" ca="1" si="6"/>
        <v>1.2038334417939214E-3</v>
      </c>
    </row>
    <row r="53" spans="1:18">
      <c r="A53" s="36" t="s">
        <v>54</v>
      </c>
      <c r="B53" s="40"/>
      <c r="C53" s="36">
        <v>56933.309200000003</v>
      </c>
      <c r="D53" s="36">
        <v>2.0999999999999999E-3</v>
      </c>
      <c r="E53" s="32">
        <f t="shared" si="8"/>
        <v>14170.079488795296</v>
      </c>
      <c r="F53" s="27">
        <f t="shared" si="5"/>
        <v>14167.5</v>
      </c>
      <c r="G53">
        <f t="shared" si="9"/>
        <v>0.93329000000085216</v>
      </c>
      <c r="H53">
        <f t="shared" si="7"/>
        <v>0.93329000000085216</v>
      </c>
      <c r="O53">
        <f t="shared" ca="1" si="10"/>
        <v>0.95127501614245724</v>
      </c>
      <c r="Q53" s="2">
        <f t="shared" si="11"/>
        <v>41914.809200000003</v>
      </c>
      <c r="R53">
        <f t="shared" ca="1" si="6"/>
        <v>3.2346080561379532E-4</v>
      </c>
    </row>
    <row r="54" spans="1:18">
      <c r="A54" s="36" t="s">
        <v>54</v>
      </c>
      <c r="B54" s="40"/>
      <c r="C54" s="36">
        <v>56933.532299999999</v>
      </c>
      <c r="D54" s="36">
        <v>8.9999999999999993E-3</v>
      </c>
      <c r="E54" s="32">
        <f t="shared" si="8"/>
        <v>14170.696107370677</v>
      </c>
      <c r="F54" s="27">
        <f t="shared" si="5"/>
        <v>14168</v>
      </c>
      <c r="G54">
        <f t="shared" si="9"/>
        <v>0.97548400000232505</v>
      </c>
      <c r="H54">
        <f t="shared" si="7"/>
        <v>0.97548400000232505</v>
      </c>
      <c r="O54">
        <f t="shared" ca="1" si="10"/>
        <v>0.95130714805708882</v>
      </c>
      <c r="Q54" s="2">
        <f t="shared" si="11"/>
        <v>41915.032299999999</v>
      </c>
      <c r="R54">
        <f t="shared" ca="1" si="6"/>
        <v>5.8452016998187248E-4</v>
      </c>
    </row>
    <row r="55" spans="1:18">
      <c r="A55" s="36" t="s">
        <v>54</v>
      </c>
      <c r="B55" s="40"/>
      <c r="C55" s="36">
        <v>56935.298799999997</v>
      </c>
      <c r="D55" s="36">
        <v>2.9999999999999997E-4</v>
      </c>
      <c r="E55" s="32">
        <f t="shared" si="8"/>
        <v>14175.578477220206</v>
      </c>
      <c r="F55" s="27">
        <f t="shared" si="5"/>
        <v>14173</v>
      </c>
      <c r="G55">
        <f t="shared" si="9"/>
        <v>0.93292400000063935</v>
      </c>
      <c r="H55">
        <f t="shared" si="7"/>
        <v>0.93292400000063935</v>
      </c>
      <c r="O55">
        <f t="shared" ca="1" si="10"/>
        <v>0.95162846720340566</v>
      </c>
      <c r="Q55" s="2">
        <f t="shared" si="11"/>
        <v>41916.798799999997</v>
      </c>
      <c r="R55">
        <f t="shared" ca="1" si="6"/>
        <v>3.4985709333936041E-4</v>
      </c>
    </row>
    <row r="56" spans="1:18">
      <c r="A56" s="36" t="s">
        <v>54</v>
      </c>
      <c r="B56" s="40"/>
      <c r="C56" s="36">
        <v>56935.504699999998</v>
      </c>
      <c r="D56" s="36">
        <v>5.0000000000000001E-4</v>
      </c>
      <c r="E56" s="32">
        <f t="shared" si="8"/>
        <v>14176.147557294944</v>
      </c>
      <c r="F56" s="27">
        <f t="shared" si="5"/>
        <v>14173.5</v>
      </c>
      <c r="G56">
        <f t="shared" si="9"/>
        <v>0.95791800000006333</v>
      </c>
      <c r="H56">
        <f t="shared" si="7"/>
        <v>0.95791800000006333</v>
      </c>
      <c r="O56">
        <f t="shared" ca="1" si="10"/>
        <v>0.95166059911803735</v>
      </c>
      <c r="Q56" s="2">
        <f t="shared" si="11"/>
        <v>41917.004699999998</v>
      </c>
      <c r="R56">
        <f t="shared" ca="1" si="6"/>
        <v>3.9155065798379468E-5</v>
      </c>
    </row>
    <row r="57" spans="1:18">
      <c r="A57" s="35" t="s">
        <v>55</v>
      </c>
      <c r="B57" s="40" t="s">
        <v>35</v>
      </c>
      <c r="C57" s="41">
        <v>56845.529889999998</v>
      </c>
      <c r="D57" s="35">
        <v>4.0000000000000002E-4</v>
      </c>
      <c r="E57" s="32">
        <f t="shared" si="8"/>
        <v>13927.46921052922</v>
      </c>
      <c r="F57" s="27">
        <f t="shared" si="5"/>
        <v>13925</v>
      </c>
      <c r="G57">
        <f t="shared" si="9"/>
        <v>0.89338999999745283</v>
      </c>
      <c r="J57">
        <f t="shared" ref="J57:J64" si="12">+G57</f>
        <v>0.89338999999745283</v>
      </c>
      <c r="O57">
        <f t="shared" ca="1" si="10"/>
        <v>0.93569103754609295</v>
      </c>
      <c r="Q57" s="2">
        <f t="shared" si="11"/>
        <v>41827.029889999998</v>
      </c>
      <c r="R57">
        <f t="shared" ca="1" si="6"/>
        <v>1.7893777776914613E-3</v>
      </c>
    </row>
    <row r="58" spans="1:18">
      <c r="A58" s="35" t="s">
        <v>55</v>
      </c>
      <c r="B58" s="40" t="s">
        <v>35</v>
      </c>
      <c r="C58" s="41">
        <v>56845.531969999996</v>
      </c>
      <c r="D58" s="35">
        <v>4.0000000000000002E-4</v>
      </c>
      <c r="E58" s="32">
        <f t="shared" si="8"/>
        <v>13927.474959371155</v>
      </c>
      <c r="F58" s="27">
        <f t="shared" si="5"/>
        <v>13925</v>
      </c>
      <c r="G58">
        <f t="shared" si="9"/>
        <v>0.89546999999583932</v>
      </c>
      <c r="J58">
        <f t="shared" si="12"/>
        <v>0.89546999999583932</v>
      </c>
      <c r="O58">
        <f t="shared" ca="1" si="10"/>
        <v>0.93569103754609295</v>
      </c>
      <c r="Q58" s="2">
        <f t="shared" si="11"/>
        <v>41827.031969999996</v>
      </c>
      <c r="R58">
        <f t="shared" ca="1" si="6"/>
        <v>1.617731861618913E-3</v>
      </c>
    </row>
    <row r="59" spans="1:18">
      <c r="A59" s="35" t="s">
        <v>55</v>
      </c>
      <c r="B59" s="40" t="s">
        <v>35</v>
      </c>
      <c r="C59" s="41">
        <v>56878.4761</v>
      </c>
      <c r="D59" s="35">
        <v>5.0000000000000001E-4</v>
      </c>
      <c r="E59" s="32">
        <f t="shared" si="8"/>
        <v>14018.528130631377</v>
      </c>
      <c r="F59" s="27">
        <f t="shared" si="5"/>
        <v>14016</v>
      </c>
      <c r="G59">
        <f t="shared" si="9"/>
        <v>0.91470799999660812</v>
      </c>
      <c r="J59">
        <f t="shared" si="12"/>
        <v>0.91470799999660812</v>
      </c>
      <c r="O59">
        <f t="shared" ca="1" si="10"/>
        <v>0.94153904600905847</v>
      </c>
      <c r="Q59" s="2">
        <f t="shared" si="11"/>
        <v>41859.9761</v>
      </c>
      <c r="R59">
        <f t="shared" ca="1" si="6"/>
        <v>7.1990503012222748E-4</v>
      </c>
    </row>
    <row r="60" spans="1:18">
      <c r="A60" s="35" t="s">
        <v>55</v>
      </c>
      <c r="B60" s="40" t="s">
        <v>35</v>
      </c>
      <c r="C60" s="41">
        <v>56878.476300000002</v>
      </c>
      <c r="D60" s="35">
        <v>2.9999999999999997E-4</v>
      </c>
      <c r="E60" s="32">
        <f t="shared" si="8"/>
        <v>14018.528683404647</v>
      </c>
      <c r="F60" s="27">
        <f t="shared" si="5"/>
        <v>14016</v>
      </c>
      <c r="G60">
        <f t="shared" si="9"/>
        <v>0.91490799999883166</v>
      </c>
      <c r="J60">
        <f t="shared" si="12"/>
        <v>0.91490799999883166</v>
      </c>
      <c r="O60">
        <f t="shared" ca="1" si="10"/>
        <v>0.94153904600905847</v>
      </c>
      <c r="Q60" s="2">
        <f t="shared" si="11"/>
        <v>41859.976300000002</v>
      </c>
      <c r="R60">
        <f t="shared" ca="1" si="6"/>
        <v>7.0921261159881735E-4</v>
      </c>
    </row>
    <row r="61" spans="1:18">
      <c r="A61" s="35" t="s">
        <v>55</v>
      </c>
      <c r="B61" s="40" t="s">
        <v>36</v>
      </c>
      <c r="C61" s="41">
        <v>56855.480510000001</v>
      </c>
      <c r="D61" s="35">
        <v>1E-3</v>
      </c>
      <c r="E61" s="32">
        <f t="shared" si="8"/>
        <v>13954.97139398362</v>
      </c>
      <c r="F61" s="27">
        <f t="shared" si="5"/>
        <v>13952.5</v>
      </c>
      <c r="G61">
        <f t="shared" si="9"/>
        <v>0.89418000000296161</v>
      </c>
      <c r="J61">
        <f t="shared" si="12"/>
        <v>0.89418000000296161</v>
      </c>
      <c r="O61">
        <f t="shared" ca="1" si="10"/>
        <v>0.93745829285083526</v>
      </c>
      <c r="Q61" s="2">
        <f t="shared" si="11"/>
        <v>41836.980510000001</v>
      </c>
      <c r="R61">
        <f t="shared" ca="1" si="6"/>
        <v>1.873010631826312E-3</v>
      </c>
    </row>
    <row r="62" spans="1:18">
      <c r="A62" s="35" t="s">
        <v>55</v>
      </c>
      <c r="B62" s="40" t="s">
        <v>36</v>
      </c>
      <c r="C62" s="41">
        <v>56855.488749999997</v>
      </c>
      <c r="D62" s="35">
        <v>5.9999999999999995E-4</v>
      </c>
      <c r="E62" s="32">
        <f t="shared" si="8"/>
        <v>13954.994168242063</v>
      </c>
      <c r="F62" s="27">
        <f t="shared" si="5"/>
        <v>13952.5</v>
      </c>
      <c r="G62">
        <f t="shared" si="9"/>
        <v>0.90241999999852851</v>
      </c>
      <c r="J62">
        <f t="shared" si="12"/>
        <v>0.90241999999852851</v>
      </c>
      <c r="O62">
        <f t="shared" ca="1" si="10"/>
        <v>0.93745829285083526</v>
      </c>
      <c r="Q62" s="2">
        <f t="shared" si="11"/>
        <v>41836.988749999997</v>
      </c>
      <c r="R62">
        <f t="shared" ca="1" si="6"/>
        <v>1.2276819660040105E-3</v>
      </c>
    </row>
    <row r="63" spans="1:18">
      <c r="A63" s="35" t="s">
        <v>55</v>
      </c>
      <c r="B63" s="40" t="s">
        <v>36</v>
      </c>
      <c r="C63" s="41">
        <v>56863.445489999998</v>
      </c>
      <c r="D63" s="35">
        <v>4.0000000000000002E-4</v>
      </c>
      <c r="E63" s="32">
        <f t="shared" si="8"/>
        <v>13976.985533923691</v>
      </c>
      <c r="F63" s="27">
        <f t="shared" si="5"/>
        <v>13974.5</v>
      </c>
      <c r="G63">
        <f t="shared" si="9"/>
        <v>0.89929599999595666</v>
      </c>
      <c r="J63">
        <f t="shared" si="12"/>
        <v>0.89929599999595666</v>
      </c>
      <c r="O63">
        <f t="shared" ca="1" si="10"/>
        <v>0.93887209709462915</v>
      </c>
      <c r="Q63" s="2">
        <f t="shared" si="11"/>
        <v>41844.945489999998</v>
      </c>
      <c r="R63">
        <f t="shared" ca="1" si="6"/>
        <v>1.5662674615635531E-3</v>
      </c>
    </row>
    <row r="64" spans="1:18">
      <c r="A64" s="35" t="s">
        <v>55</v>
      </c>
      <c r="B64" s="40" t="s">
        <v>36</v>
      </c>
      <c r="C64" s="41">
        <v>56863.449050000003</v>
      </c>
      <c r="D64" s="35">
        <v>5.9999999999999995E-4</v>
      </c>
      <c r="E64" s="32">
        <f t="shared" si="8"/>
        <v>13976.995373287793</v>
      </c>
      <c r="F64" s="27">
        <f t="shared" si="5"/>
        <v>13974.5</v>
      </c>
      <c r="G64">
        <f t="shared" si="9"/>
        <v>0.90285600000061095</v>
      </c>
      <c r="J64">
        <f t="shared" si="12"/>
        <v>0.90285600000061095</v>
      </c>
      <c r="O64">
        <f t="shared" ca="1" si="10"/>
        <v>0.93887209709462915</v>
      </c>
      <c r="Q64" s="2">
        <f t="shared" si="11"/>
        <v>41844.949050000003</v>
      </c>
      <c r="R64">
        <f t="shared" ca="1" si="6"/>
        <v>1.2971592498857466E-3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41"/>
  <sheetViews>
    <sheetView topLeftCell="A22" workbookViewId="0">
      <selection activeCell="A45" sqref="A45:D49"/>
    </sheetView>
  </sheetViews>
  <sheetFormatPr defaultRowHeight="12.75"/>
  <cols>
    <col min="1" max="1" width="19.7109375" style="26" customWidth="1"/>
    <col min="2" max="2" width="4.42578125" style="11" customWidth="1"/>
    <col min="3" max="3" width="12.7109375" style="2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5" t="s">
        <v>61</v>
      </c>
      <c r="I1" s="46" t="s">
        <v>62</v>
      </c>
      <c r="J1" s="47" t="s">
        <v>63</v>
      </c>
    </row>
    <row r="2" spans="1:16">
      <c r="I2" s="48" t="s">
        <v>64</v>
      </c>
      <c r="J2" s="49" t="s">
        <v>65</v>
      </c>
    </row>
    <row r="3" spans="1:16">
      <c r="A3" s="50" t="s">
        <v>66</v>
      </c>
      <c r="I3" s="48" t="s">
        <v>67</v>
      </c>
      <c r="J3" s="49" t="s">
        <v>68</v>
      </c>
    </row>
    <row r="4" spans="1:16">
      <c r="I4" s="48" t="s">
        <v>69</v>
      </c>
      <c r="J4" s="49" t="s">
        <v>68</v>
      </c>
    </row>
    <row r="5" spans="1:16" ht="13.5" thickBot="1">
      <c r="I5" s="51" t="s">
        <v>70</v>
      </c>
      <c r="J5" s="52" t="s">
        <v>71</v>
      </c>
    </row>
    <row r="10" spans="1:16" ht="13.5" thickBot="1"/>
    <row r="11" spans="1:16" ht="12.75" customHeight="1" thickBot="1">
      <c r="A11" s="26" t="str">
        <f t="shared" ref="A11:A49" si="0">P11</f>
        <v>BAVM 241 (=IBVS 6157) </v>
      </c>
      <c r="B11" s="6" t="str">
        <f t="shared" ref="B11:B49" si="1">IF(H11=INT(H11),"I","II")</f>
        <v>II</v>
      </c>
      <c r="C11" s="26">
        <f t="shared" ref="C11:C49" si="2">1*G11</f>
        <v>57215.420400000003</v>
      </c>
      <c r="D11" s="11" t="str">
        <f t="shared" ref="D11:D49" si="3">VLOOKUP(F11,I$1:J$5,2,FALSE)</f>
        <v>vis</v>
      </c>
      <c r="E11" s="53">
        <f>VLOOKUP(C11,Active!C$21:E$973,3,FALSE)</f>
        <v>12232.943134736126</v>
      </c>
      <c r="F11" s="6" t="s">
        <v>70</v>
      </c>
      <c r="G11" s="11" t="str">
        <f t="shared" ref="G11:G49" si="4">MID(I11,3,LEN(I11)-3)</f>
        <v>57215.4204</v>
      </c>
      <c r="H11" s="26">
        <f t="shared" ref="H11:H49" si="5">1*K11</f>
        <v>13021.5</v>
      </c>
      <c r="I11" s="54" t="s">
        <v>206</v>
      </c>
      <c r="J11" s="55" t="s">
        <v>207</v>
      </c>
      <c r="K11" s="54" t="s">
        <v>208</v>
      </c>
      <c r="L11" s="54" t="s">
        <v>209</v>
      </c>
      <c r="M11" s="55" t="s">
        <v>91</v>
      </c>
      <c r="N11" s="55" t="s">
        <v>97</v>
      </c>
      <c r="O11" s="56" t="s">
        <v>98</v>
      </c>
      <c r="P11" s="57" t="s">
        <v>210</v>
      </c>
    </row>
    <row r="12" spans="1:16" ht="12.75" customHeight="1" thickBot="1">
      <c r="A12" s="26" t="str">
        <f t="shared" si="0"/>
        <v>BAVM 232 </v>
      </c>
      <c r="B12" s="6" t="str">
        <f t="shared" si="1"/>
        <v>II</v>
      </c>
      <c r="C12" s="26">
        <f t="shared" si="2"/>
        <v>56218.521099999998</v>
      </c>
      <c r="D12" s="11" t="str">
        <f t="shared" si="3"/>
        <v>vis</v>
      </c>
      <c r="E12" s="53">
        <f>VLOOKUP(C12,Active!C$21:E$973,3,FALSE)</f>
        <v>9978.3717953357063</v>
      </c>
      <c r="F12" s="6" t="s">
        <v>70</v>
      </c>
      <c r="G12" s="11" t="str">
        <f t="shared" si="4"/>
        <v>56218.5211</v>
      </c>
      <c r="H12" s="26">
        <f t="shared" si="5"/>
        <v>10268.5</v>
      </c>
      <c r="I12" s="54" t="s">
        <v>94</v>
      </c>
      <c r="J12" s="55" t="s">
        <v>95</v>
      </c>
      <c r="K12" s="54">
        <v>10268.5</v>
      </c>
      <c r="L12" s="54" t="s">
        <v>96</v>
      </c>
      <c r="M12" s="55" t="s">
        <v>91</v>
      </c>
      <c r="N12" s="55" t="s">
        <v>97</v>
      </c>
      <c r="O12" s="56" t="s">
        <v>98</v>
      </c>
      <c r="P12" s="57" t="s">
        <v>99</v>
      </c>
    </row>
    <row r="13" spans="1:16" ht="12.75" customHeight="1" thickBot="1">
      <c r="A13" s="26" t="str">
        <f t="shared" si="0"/>
        <v>BAVM 232 </v>
      </c>
      <c r="B13" s="6" t="str">
        <f t="shared" si="1"/>
        <v>I</v>
      </c>
      <c r="C13" s="26">
        <f t="shared" si="2"/>
        <v>56220.514499999997</v>
      </c>
      <c r="D13" s="11" t="str">
        <f t="shared" si="3"/>
        <v>vis</v>
      </c>
      <c r="E13" s="53">
        <f>VLOOKUP(C13,Active!C$21:E$973,3,FALSE)</f>
        <v>9982.8800365471907</v>
      </c>
      <c r="F13" s="6" t="s">
        <v>70</v>
      </c>
      <c r="G13" s="11" t="str">
        <f t="shared" si="4"/>
        <v>56220.5145</v>
      </c>
      <c r="H13" s="26">
        <f t="shared" si="5"/>
        <v>10274</v>
      </c>
      <c r="I13" s="54" t="s">
        <v>100</v>
      </c>
      <c r="J13" s="55" t="s">
        <v>101</v>
      </c>
      <c r="K13" s="54">
        <v>10274</v>
      </c>
      <c r="L13" s="54" t="s">
        <v>102</v>
      </c>
      <c r="M13" s="55" t="s">
        <v>91</v>
      </c>
      <c r="N13" s="55" t="s">
        <v>97</v>
      </c>
      <c r="O13" s="56" t="s">
        <v>98</v>
      </c>
      <c r="P13" s="57" t="s">
        <v>99</v>
      </c>
    </row>
    <row r="14" spans="1:16" ht="12.75" customHeight="1" thickBot="1">
      <c r="A14" s="26" t="str">
        <f t="shared" si="0"/>
        <v>BAVM 232 </v>
      </c>
      <c r="B14" s="6" t="str">
        <f t="shared" si="1"/>
        <v>II</v>
      </c>
      <c r="C14" s="26">
        <f t="shared" si="2"/>
        <v>56221.391900000002</v>
      </c>
      <c r="D14" s="11" t="str">
        <f t="shared" si="3"/>
        <v>vis</v>
      </c>
      <c r="E14" s="53">
        <f>VLOOKUP(C14,Active!C$21:E$973,3,FALSE)</f>
        <v>9984.8643502017403</v>
      </c>
      <c r="F14" s="6" t="s">
        <v>70</v>
      </c>
      <c r="G14" s="11" t="str">
        <f t="shared" si="4"/>
        <v>56221.3919</v>
      </c>
      <c r="H14" s="26">
        <f t="shared" si="5"/>
        <v>10276.5</v>
      </c>
      <c r="I14" s="54" t="s">
        <v>103</v>
      </c>
      <c r="J14" s="55" t="s">
        <v>104</v>
      </c>
      <c r="K14" s="54">
        <v>10276.5</v>
      </c>
      <c r="L14" s="54" t="s">
        <v>105</v>
      </c>
      <c r="M14" s="55" t="s">
        <v>91</v>
      </c>
      <c r="N14" s="55" t="s">
        <v>97</v>
      </c>
      <c r="O14" s="56" t="s">
        <v>98</v>
      </c>
      <c r="P14" s="57" t="s">
        <v>99</v>
      </c>
    </row>
    <row r="15" spans="1:16" ht="12.75" customHeight="1" thickBot="1">
      <c r="A15" s="26" t="str">
        <f t="shared" si="0"/>
        <v>BAVM 232 </v>
      </c>
      <c r="B15" s="6" t="str">
        <f t="shared" si="1"/>
        <v>I</v>
      </c>
      <c r="C15" s="26">
        <f t="shared" si="2"/>
        <v>56222.276400000002</v>
      </c>
      <c r="D15" s="11" t="str">
        <f t="shared" si="3"/>
        <v>vis</v>
      </c>
      <c r="E15" s="53">
        <f>VLOOKUP(C15,Active!C$21:E$973,3,FALSE)</f>
        <v>9986.8647211014886</v>
      </c>
      <c r="F15" s="6" t="s">
        <v>70</v>
      </c>
      <c r="G15" s="11" t="str">
        <f t="shared" si="4"/>
        <v>56222.2764</v>
      </c>
      <c r="H15" s="26">
        <f t="shared" si="5"/>
        <v>10279</v>
      </c>
      <c r="I15" s="54" t="s">
        <v>106</v>
      </c>
      <c r="J15" s="55" t="s">
        <v>107</v>
      </c>
      <c r="K15" s="54">
        <v>10279</v>
      </c>
      <c r="L15" s="54" t="s">
        <v>108</v>
      </c>
      <c r="M15" s="55" t="s">
        <v>91</v>
      </c>
      <c r="N15" s="55" t="s">
        <v>97</v>
      </c>
      <c r="O15" s="56" t="s">
        <v>98</v>
      </c>
      <c r="P15" s="57" t="s">
        <v>99</v>
      </c>
    </row>
    <row r="16" spans="1:16" ht="12.75" customHeight="1" thickBot="1">
      <c r="A16" s="26" t="str">
        <f t="shared" si="0"/>
        <v>BAVM 232 </v>
      </c>
      <c r="B16" s="6" t="str">
        <f t="shared" si="1"/>
        <v>II</v>
      </c>
      <c r="C16" s="26">
        <f t="shared" si="2"/>
        <v>56225.379099999998</v>
      </c>
      <c r="D16" s="11" t="str">
        <f t="shared" si="3"/>
        <v>vis</v>
      </c>
      <c r="E16" s="53">
        <f>VLOOKUP(C16,Active!C$21:E$973,3,FALSE)</f>
        <v>9993.8817372582344</v>
      </c>
      <c r="F16" s="6" t="s">
        <v>70</v>
      </c>
      <c r="G16" s="11" t="str">
        <f t="shared" si="4"/>
        <v>56225.3791</v>
      </c>
      <c r="H16" s="26">
        <f t="shared" si="5"/>
        <v>10287.5</v>
      </c>
      <c r="I16" s="54" t="s">
        <v>109</v>
      </c>
      <c r="J16" s="55" t="s">
        <v>110</v>
      </c>
      <c r="K16" s="54">
        <v>10287.5</v>
      </c>
      <c r="L16" s="54" t="s">
        <v>111</v>
      </c>
      <c r="M16" s="55" t="s">
        <v>91</v>
      </c>
      <c r="N16" s="55" t="s">
        <v>97</v>
      </c>
      <c r="O16" s="56" t="s">
        <v>98</v>
      </c>
      <c r="P16" s="57" t="s">
        <v>99</v>
      </c>
    </row>
    <row r="17" spans="1:16" ht="12.75" customHeight="1" thickBot="1">
      <c r="A17" s="26" t="str">
        <f t="shared" si="0"/>
        <v>IBVS 6092 </v>
      </c>
      <c r="B17" s="6" t="str">
        <f t="shared" si="1"/>
        <v>I</v>
      </c>
      <c r="C17" s="26">
        <f t="shared" si="2"/>
        <v>56417.9421</v>
      </c>
      <c r="D17" s="11" t="str">
        <f t="shared" si="3"/>
        <v>vis</v>
      </c>
      <c r="E17" s="53">
        <f>VLOOKUP(C17,Active!C$21:E$973,3,FALSE)</f>
        <v>10429.379104774658</v>
      </c>
      <c r="F17" s="6" t="s">
        <v>70</v>
      </c>
      <c r="G17" s="11" t="str">
        <f t="shared" si="4"/>
        <v>56417.9421</v>
      </c>
      <c r="H17" s="26">
        <f t="shared" si="5"/>
        <v>10819</v>
      </c>
      <c r="I17" s="54" t="s">
        <v>112</v>
      </c>
      <c r="J17" s="55" t="s">
        <v>113</v>
      </c>
      <c r="K17" s="54">
        <v>10819</v>
      </c>
      <c r="L17" s="54" t="s">
        <v>114</v>
      </c>
      <c r="M17" s="55" t="s">
        <v>91</v>
      </c>
      <c r="N17" s="55" t="s">
        <v>62</v>
      </c>
      <c r="O17" s="56" t="s">
        <v>115</v>
      </c>
      <c r="P17" s="57" t="s">
        <v>116</v>
      </c>
    </row>
    <row r="18" spans="1:16" ht="12.75" customHeight="1" thickBot="1">
      <c r="A18" s="26" t="str">
        <f t="shared" si="0"/>
        <v>BAVM 232 </v>
      </c>
      <c r="B18" s="6" t="str">
        <f t="shared" si="1"/>
        <v>I</v>
      </c>
      <c r="C18" s="26">
        <f t="shared" si="2"/>
        <v>56480.502</v>
      </c>
      <c r="D18" s="11" t="str">
        <f t="shared" si="3"/>
        <v>vis</v>
      </c>
      <c r="E18" s="53">
        <f>VLOOKUP(C18,Active!C$21:E$973,3,FALSE)</f>
        <v>10570.863563170562</v>
      </c>
      <c r="F18" s="6" t="s">
        <v>70</v>
      </c>
      <c r="G18" s="11" t="str">
        <f t="shared" si="4"/>
        <v>56480.5020</v>
      </c>
      <c r="H18" s="26">
        <f t="shared" si="5"/>
        <v>10992</v>
      </c>
      <c r="I18" s="54" t="s">
        <v>117</v>
      </c>
      <c r="J18" s="55" t="s">
        <v>118</v>
      </c>
      <c r="K18" s="54">
        <v>10992</v>
      </c>
      <c r="L18" s="54" t="s">
        <v>119</v>
      </c>
      <c r="M18" s="55" t="s">
        <v>91</v>
      </c>
      <c r="N18" s="55" t="s">
        <v>97</v>
      </c>
      <c r="O18" s="56" t="s">
        <v>98</v>
      </c>
      <c r="P18" s="57" t="s">
        <v>99</v>
      </c>
    </row>
    <row r="19" spans="1:16" ht="12.75" customHeight="1" thickBot="1">
      <c r="A19" s="26" t="str">
        <f t="shared" si="0"/>
        <v>BAVM 232 </v>
      </c>
      <c r="B19" s="6" t="str">
        <f t="shared" si="1"/>
        <v>II</v>
      </c>
      <c r="C19" s="26">
        <f t="shared" si="2"/>
        <v>56486.475100000003</v>
      </c>
      <c r="D19" s="11" t="str">
        <f t="shared" si="3"/>
        <v>vis</v>
      </c>
      <c r="E19" s="53">
        <f>VLOOKUP(C19,Active!C$21:E$973,3,FALSE)</f>
        <v>10584.372229559815</v>
      </c>
      <c r="F19" s="6" t="s">
        <v>70</v>
      </c>
      <c r="G19" s="11" t="str">
        <f t="shared" si="4"/>
        <v>56486.4751</v>
      </c>
      <c r="H19" s="26">
        <f t="shared" si="5"/>
        <v>11008.5</v>
      </c>
      <c r="I19" s="54" t="s">
        <v>120</v>
      </c>
      <c r="J19" s="55" t="s">
        <v>121</v>
      </c>
      <c r="K19" s="54">
        <v>11008.5</v>
      </c>
      <c r="L19" s="54" t="s">
        <v>122</v>
      </c>
      <c r="M19" s="55" t="s">
        <v>91</v>
      </c>
      <c r="N19" s="55" t="s">
        <v>97</v>
      </c>
      <c r="O19" s="56" t="s">
        <v>98</v>
      </c>
      <c r="P19" s="57" t="s">
        <v>99</v>
      </c>
    </row>
    <row r="20" spans="1:16" ht="12.75" customHeight="1" thickBot="1">
      <c r="A20" s="26" t="str">
        <f t="shared" si="0"/>
        <v>BAVM 232 </v>
      </c>
      <c r="B20" s="6" t="str">
        <f t="shared" si="1"/>
        <v>I</v>
      </c>
      <c r="C20" s="26">
        <f t="shared" si="2"/>
        <v>56505.482300000003</v>
      </c>
      <c r="D20" s="11" t="str">
        <f t="shared" si="3"/>
        <v>vis</v>
      </c>
      <c r="E20" s="53">
        <f>VLOOKUP(C20,Active!C$21:E$973,3,FALSE)</f>
        <v>10627.358605778807</v>
      </c>
      <c r="F20" s="6" t="s">
        <v>70</v>
      </c>
      <c r="G20" s="11" t="str">
        <f t="shared" si="4"/>
        <v>56505.4823</v>
      </c>
      <c r="H20" s="26">
        <f t="shared" si="5"/>
        <v>11061</v>
      </c>
      <c r="I20" s="54" t="s">
        <v>123</v>
      </c>
      <c r="J20" s="55" t="s">
        <v>124</v>
      </c>
      <c r="K20" s="54">
        <v>11061</v>
      </c>
      <c r="L20" s="54" t="s">
        <v>125</v>
      </c>
      <c r="M20" s="55" t="s">
        <v>91</v>
      </c>
      <c r="N20" s="55" t="s">
        <v>97</v>
      </c>
      <c r="O20" s="56" t="s">
        <v>98</v>
      </c>
      <c r="P20" s="57" t="s">
        <v>99</v>
      </c>
    </row>
    <row r="21" spans="1:16" ht="12.75" customHeight="1" thickBot="1">
      <c r="A21" s="26" t="str">
        <f t="shared" si="0"/>
        <v>BAVM 234 </v>
      </c>
      <c r="B21" s="6" t="str">
        <f t="shared" si="1"/>
        <v>II</v>
      </c>
      <c r="C21" s="26">
        <f t="shared" si="2"/>
        <v>56515.407500000001</v>
      </c>
      <c r="D21" s="11" t="str">
        <f t="shared" si="3"/>
        <v>vis</v>
      </c>
      <c r="E21" s="53">
        <f>VLOOKUP(C21,Active!C$21:E$973,3,FALSE)</f>
        <v>10649.805277632035</v>
      </c>
      <c r="F21" s="6" t="s">
        <v>70</v>
      </c>
      <c r="G21" s="11" t="str">
        <f t="shared" si="4"/>
        <v>56515.4075</v>
      </c>
      <c r="H21" s="26">
        <f t="shared" si="5"/>
        <v>11088.5</v>
      </c>
      <c r="I21" s="54" t="s">
        <v>126</v>
      </c>
      <c r="J21" s="55" t="s">
        <v>127</v>
      </c>
      <c r="K21" s="54">
        <v>11088.5</v>
      </c>
      <c r="L21" s="54" t="s">
        <v>128</v>
      </c>
      <c r="M21" s="55" t="s">
        <v>91</v>
      </c>
      <c r="N21" s="55" t="s">
        <v>97</v>
      </c>
      <c r="O21" s="56" t="s">
        <v>98</v>
      </c>
      <c r="P21" s="57" t="s">
        <v>129</v>
      </c>
    </row>
    <row r="22" spans="1:16" ht="12.75" customHeight="1" thickBot="1">
      <c r="A22" s="26" t="str">
        <f t="shared" si="0"/>
        <v>BAVM 234 </v>
      </c>
      <c r="B22" s="6" t="str">
        <f t="shared" si="1"/>
        <v>II</v>
      </c>
      <c r="C22" s="26">
        <f t="shared" si="2"/>
        <v>56540.423300000002</v>
      </c>
      <c r="D22" s="11" t="str">
        <f t="shared" si="3"/>
        <v>vis</v>
      </c>
      <c r="E22" s="53">
        <f>VLOOKUP(C22,Active!C$21:E$973,3,FALSE)</f>
        <v>10706.380606466326</v>
      </c>
      <c r="F22" s="6" t="s">
        <v>70</v>
      </c>
      <c r="G22" s="11" t="str">
        <f t="shared" si="4"/>
        <v>56540.4233</v>
      </c>
      <c r="H22" s="26">
        <f t="shared" si="5"/>
        <v>11157.5</v>
      </c>
      <c r="I22" s="54" t="s">
        <v>130</v>
      </c>
      <c r="J22" s="55" t="s">
        <v>131</v>
      </c>
      <c r="K22" s="54">
        <v>11157.5</v>
      </c>
      <c r="L22" s="54" t="s">
        <v>132</v>
      </c>
      <c r="M22" s="55" t="s">
        <v>91</v>
      </c>
      <c r="N22" s="55" t="s">
        <v>97</v>
      </c>
      <c r="O22" s="56" t="s">
        <v>98</v>
      </c>
      <c r="P22" s="57" t="s">
        <v>129</v>
      </c>
    </row>
    <row r="23" spans="1:16" ht="12.75" customHeight="1" thickBot="1">
      <c r="A23" s="26" t="str">
        <f t="shared" si="0"/>
        <v>BAVM 234 </v>
      </c>
      <c r="B23" s="6" t="str">
        <f t="shared" si="1"/>
        <v>II</v>
      </c>
      <c r="C23" s="26">
        <f t="shared" si="2"/>
        <v>56560.337800000001</v>
      </c>
      <c r="D23" s="11" t="str">
        <f t="shared" si="3"/>
        <v>vis</v>
      </c>
      <c r="E23" s="53">
        <f>VLOOKUP(C23,Active!C$21:E$973,3,FALSE)</f>
        <v>10751.418917696445</v>
      </c>
      <c r="F23" s="6" t="s">
        <v>70</v>
      </c>
      <c r="G23" s="11" t="str">
        <f t="shared" si="4"/>
        <v>56560.3378</v>
      </c>
      <c r="H23" s="26">
        <f t="shared" si="5"/>
        <v>11212.5</v>
      </c>
      <c r="I23" s="54" t="s">
        <v>133</v>
      </c>
      <c r="J23" s="55" t="s">
        <v>134</v>
      </c>
      <c r="K23" s="54">
        <v>11212.5</v>
      </c>
      <c r="L23" s="54" t="s">
        <v>135</v>
      </c>
      <c r="M23" s="55" t="s">
        <v>91</v>
      </c>
      <c r="N23" s="55" t="s">
        <v>97</v>
      </c>
      <c r="O23" s="56" t="s">
        <v>98</v>
      </c>
      <c r="P23" s="57" t="s">
        <v>129</v>
      </c>
    </row>
    <row r="24" spans="1:16" ht="12.75" customHeight="1" thickBot="1">
      <c r="A24" s="26" t="str">
        <f t="shared" si="0"/>
        <v>BAVM 234 </v>
      </c>
      <c r="B24" s="6" t="str">
        <f t="shared" si="1"/>
        <v>I</v>
      </c>
      <c r="C24" s="26">
        <f t="shared" si="2"/>
        <v>56560.547200000001</v>
      </c>
      <c r="D24" s="11" t="str">
        <f t="shared" si="3"/>
        <v>vis</v>
      </c>
      <c r="E24" s="53">
        <f>VLOOKUP(C24,Active!C$21:E$973,3,FALSE)</f>
        <v>10751.892493350946</v>
      </c>
      <c r="F24" s="6" t="s">
        <v>70</v>
      </c>
      <c r="G24" s="11" t="str">
        <f t="shared" si="4"/>
        <v>56560.5472</v>
      </c>
      <c r="H24" s="26">
        <f t="shared" si="5"/>
        <v>11213</v>
      </c>
      <c r="I24" s="54" t="s">
        <v>136</v>
      </c>
      <c r="J24" s="55" t="s">
        <v>137</v>
      </c>
      <c r="K24" s="54">
        <v>11213</v>
      </c>
      <c r="L24" s="54" t="s">
        <v>138</v>
      </c>
      <c r="M24" s="55" t="s">
        <v>91</v>
      </c>
      <c r="N24" s="55" t="s">
        <v>97</v>
      </c>
      <c r="O24" s="56" t="s">
        <v>98</v>
      </c>
      <c r="P24" s="57" t="s">
        <v>129</v>
      </c>
    </row>
    <row r="25" spans="1:16" ht="12.75" customHeight="1" thickBot="1">
      <c r="A25" s="26" t="str">
        <f t="shared" si="0"/>
        <v>BAVM 234 </v>
      </c>
      <c r="B25" s="6" t="str">
        <f t="shared" si="1"/>
        <v>I</v>
      </c>
      <c r="C25" s="26">
        <f t="shared" si="2"/>
        <v>56568.508300000001</v>
      </c>
      <c r="D25" s="11" t="str">
        <f t="shared" si="3"/>
        <v>vis</v>
      </c>
      <c r="E25" s="53">
        <f>VLOOKUP(C25,Active!C$21:E$973,3,FALSE)</f>
        <v>10769.897188398983</v>
      </c>
      <c r="F25" s="6" t="s">
        <v>70</v>
      </c>
      <c r="G25" s="11" t="str">
        <f t="shared" si="4"/>
        <v>56568.5083</v>
      </c>
      <c r="H25" s="26">
        <f t="shared" si="5"/>
        <v>11235</v>
      </c>
      <c r="I25" s="54" t="s">
        <v>139</v>
      </c>
      <c r="J25" s="55" t="s">
        <v>140</v>
      </c>
      <c r="K25" s="54">
        <v>11235</v>
      </c>
      <c r="L25" s="54" t="s">
        <v>141</v>
      </c>
      <c r="M25" s="55" t="s">
        <v>91</v>
      </c>
      <c r="N25" s="55" t="s">
        <v>97</v>
      </c>
      <c r="O25" s="56" t="s">
        <v>98</v>
      </c>
      <c r="P25" s="57" t="s">
        <v>129</v>
      </c>
    </row>
    <row r="26" spans="1:16" ht="12.75" customHeight="1" thickBot="1">
      <c r="A26" s="26" t="str">
        <f t="shared" si="0"/>
        <v>BAVM 234 </v>
      </c>
      <c r="B26" s="6" t="str">
        <f t="shared" si="1"/>
        <v>I</v>
      </c>
      <c r="C26" s="26">
        <f t="shared" si="2"/>
        <v>56579.335800000001</v>
      </c>
      <c r="D26" s="11" t="str">
        <f t="shared" si="3"/>
        <v>vis</v>
      </c>
      <c r="E26" s="53">
        <f>VLOOKUP(C26,Active!C$21:E$973,3,FALSE)</f>
        <v>10794.384487344179</v>
      </c>
      <c r="F26" s="6" t="s">
        <v>70</v>
      </c>
      <c r="G26" s="11" t="str">
        <f t="shared" si="4"/>
        <v>56579.3358</v>
      </c>
      <c r="H26" s="26">
        <f t="shared" si="5"/>
        <v>11265</v>
      </c>
      <c r="I26" s="54" t="s">
        <v>142</v>
      </c>
      <c r="J26" s="55" t="s">
        <v>143</v>
      </c>
      <c r="K26" s="54">
        <v>11265</v>
      </c>
      <c r="L26" s="54" t="s">
        <v>144</v>
      </c>
      <c r="M26" s="55" t="s">
        <v>91</v>
      </c>
      <c r="N26" s="55" t="s">
        <v>97</v>
      </c>
      <c r="O26" s="56" t="s">
        <v>98</v>
      </c>
      <c r="P26" s="57" t="s">
        <v>129</v>
      </c>
    </row>
    <row r="27" spans="1:16" ht="12.75" customHeight="1" thickBot="1">
      <c r="A27" s="26" t="str">
        <f t="shared" si="0"/>
        <v>BAVM 234 </v>
      </c>
      <c r="B27" s="6" t="str">
        <f t="shared" si="1"/>
        <v>I</v>
      </c>
      <c r="C27" s="26">
        <f t="shared" si="2"/>
        <v>56596.373899999999</v>
      </c>
      <c r="D27" s="11" t="str">
        <f t="shared" si="3"/>
        <v>vis</v>
      </c>
      <c r="E27" s="53">
        <f>VLOOKUP(C27,Active!C$21:E$973,3,FALSE)</f>
        <v>10832.917578838811</v>
      </c>
      <c r="F27" s="6" t="s">
        <v>70</v>
      </c>
      <c r="G27" s="11" t="str">
        <f t="shared" si="4"/>
        <v>56596.3739</v>
      </c>
      <c r="H27" s="26">
        <f t="shared" si="5"/>
        <v>11312</v>
      </c>
      <c r="I27" s="54" t="s">
        <v>145</v>
      </c>
      <c r="J27" s="55" t="s">
        <v>146</v>
      </c>
      <c r="K27" s="54">
        <v>11312</v>
      </c>
      <c r="L27" s="54" t="s">
        <v>147</v>
      </c>
      <c r="M27" s="55" t="s">
        <v>91</v>
      </c>
      <c r="N27" s="55" t="s">
        <v>97</v>
      </c>
      <c r="O27" s="56" t="s">
        <v>98</v>
      </c>
      <c r="P27" s="57" t="s">
        <v>129</v>
      </c>
    </row>
    <row r="28" spans="1:16" ht="12.75" customHeight="1" thickBot="1">
      <c r="A28" s="26" t="str">
        <f t="shared" si="0"/>
        <v>BAVM 234 </v>
      </c>
      <c r="B28" s="6" t="str">
        <f t="shared" si="1"/>
        <v>I</v>
      </c>
      <c r="C28" s="26">
        <f t="shared" si="2"/>
        <v>56608.298199999997</v>
      </c>
      <c r="D28" s="11" t="str">
        <f t="shared" si="3"/>
        <v>vis</v>
      </c>
      <c r="E28" s="53">
        <f>VLOOKUP(C28,Active!C$21:E$973,3,FALSE)</f>
        <v>10859.88538293137</v>
      </c>
      <c r="F28" s="6" t="s">
        <v>70</v>
      </c>
      <c r="G28" s="11" t="str">
        <f t="shared" si="4"/>
        <v>56608.2982</v>
      </c>
      <c r="H28" s="26">
        <f t="shared" si="5"/>
        <v>11345</v>
      </c>
      <c r="I28" s="54" t="s">
        <v>148</v>
      </c>
      <c r="J28" s="55" t="s">
        <v>149</v>
      </c>
      <c r="K28" s="54">
        <v>11345</v>
      </c>
      <c r="L28" s="54" t="s">
        <v>150</v>
      </c>
      <c r="M28" s="55" t="s">
        <v>91</v>
      </c>
      <c r="N28" s="55" t="s">
        <v>97</v>
      </c>
      <c r="O28" s="56" t="s">
        <v>98</v>
      </c>
      <c r="P28" s="57" t="s">
        <v>129</v>
      </c>
    </row>
    <row r="29" spans="1:16" ht="12.75" customHeight="1" thickBot="1">
      <c r="A29" s="26" t="str">
        <f t="shared" si="0"/>
        <v>BAVM 234 </v>
      </c>
      <c r="B29" s="6" t="str">
        <f t="shared" si="1"/>
        <v>II</v>
      </c>
      <c r="C29" s="26">
        <f t="shared" si="2"/>
        <v>56623.326200000003</v>
      </c>
      <c r="D29" s="11" t="str">
        <f t="shared" si="3"/>
        <v>vis</v>
      </c>
      <c r="E29" s="53">
        <f>VLOOKUP(C29,Active!C$21:E$973,3,FALSE)</f>
        <v>10893.872464764532</v>
      </c>
      <c r="F29" s="6" t="s">
        <v>70</v>
      </c>
      <c r="G29" s="11" t="str">
        <f t="shared" si="4"/>
        <v>56623.3262</v>
      </c>
      <c r="H29" s="26">
        <f t="shared" si="5"/>
        <v>11386.5</v>
      </c>
      <c r="I29" s="54" t="s">
        <v>151</v>
      </c>
      <c r="J29" s="55" t="s">
        <v>152</v>
      </c>
      <c r="K29" s="54">
        <v>11386.5</v>
      </c>
      <c r="L29" s="54" t="s">
        <v>153</v>
      </c>
      <c r="M29" s="55" t="s">
        <v>91</v>
      </c>
      <c r="N29" s="55" t="s">
        <v>97</v>
      </c>
      <c r="O29" s="56" t="s">
        <v>98</v>
      </c>
      <c r="P29" s="57" t="s">
        <v>129</v>
      </c>
    </row>
    <row r="30" spans="1:16" ht="12.75" customHeight="1" thickBot="1">
      <c r="A30" s="26" t="str">
        <f t="shared" si="0"/>
        <v>BAVM 234 </v>
      </c>
      <c r="B30" s="6" t="str">
        <f t="shared" si="1"/>
        <v>II</v>
      </c>
      <c r="C30" s="26">
        <f t="shared" si="2"/>
        <v>56647.214</v>
      </c>
      <c r="D30" s="11" t="str">
        <f t="shared" si="3"/>
        <v>vis</v>
      </c>
      <c r="E30" s="53">
        <f>VLOOKUP(C30,Active!C$21:E$973,3,FALSE)</f>
        <v>10947.896727035879</v>
      </c>
      <c r="F30" s="6" t="s">
        <v>70</v>
      </c>
      <c r="G30" s="11" t="str">
        <f t="shared" si="4"/>
        <v>56647.214</v>
      </c>
      <c r="H30" s="26">
        <f t="shared" si="5"/>
        <v>11452.5</v>
      </c>
      <c r="I30" s="54" t="s">
        <v>154</v>
      </c>
      <c r="J30" s="55" t="s">
        <v>155</v>
      </c>
      <c r="K30" s="54">
        <v>11452.5</v>
      </c>
      <c r="L30" s="54" t="s">
        <v>156</v>
      </c>
      <c r="M30" s="55" t="s">
        <v>91</v>
      </c>
      <c r="N30" s="55" t="s">
        <v>97</v>
      </c>
      <c r="O30" s="56" t="s">
        <v>98</v>
      </c>
      <c r="P30" s="57" t="s">
        <v>129</v>
      </c>
    </row>
    <row r="31" spans="1:16" ht="12.75" customHeight="1" thickBot="1">
      <c r="A31" s="26" t="str">
        <f t="shared" si="0"/>
        <v>BAVM 234 </v>
      </c>
      <c r="B31" s="6" t="str">
        <f t="shared" si="1"/>
        <v>I</v>
      </c>
      <c r="C31" s="26">
        <f t="shared" si="2"/>
        <v>56675.294800000003</v>
      </c>
      <c r="D31" s="11" t="str">
        <f t="shared" si="3"/>
        <v>vis</v>
      </c>
      <c r="E31" s="53">
        <f>VLOOKUP(C31,Active!C$21:E$973,3,FALSE)</f>
        <v>11011.403810316449</v>
      </c>
      <c r="F31" s="6" t="s">
        <v>70</v>
      </c>
      <c r="G31" s="11" t="str">
        <f t="shared" si="4"/>
        <v>56675.2948</v>
      </c>
      <c r="H31" s="26">
        <f t="shared" si="5"/>
        <v>11530</v>
      </c>
      <c r="I31" s="54" t="s">
        <v>157</v>
      </c>
      <c r="J31" s="55" t="s">
        <v>158</v>
      </c>
      <c r="K31" s="54">
        <v>11530</v>
      </c>
      <c r="L31" s="54" t="s">
        <v>159</v>
      </c>
      <c r="M31" s="55" t="s">
        <v>91</v>
      </c>
      <c r="N31" s="55" t="s">
        <v>97</v>
      </c>
      <c r="O31" s="56" t="s">
        <v>98</v>
      </c>
      <c r="P31" s="57" t="s">
        <v>129</v>
      </c>
    </row>
    <row r="32" spans="1:16" ht="12.75" customHeight="1" thickBot="1">
      <c r="A32" s="26" t="str">
        <f t="shared" si="0"/>
        <v>BAVM 238 </v>
      </c>
      <c r="B32" s="6" t="str">
        <f t="shared" si="1"/>
        <v>I</v>
      </c>
      <c r="C32" s="26">
        <f t="shared" si="2"/>
        <v>56815.461300000003</v>
      </c>
      <c r="D32" s="11" t="str">
        <f t="shared" si="3"/>
        <v>vis</v>
      </c>
      <c r="E32" s="53">
        <f>VLOOKUP(C32,Active!C$21:E$973,3,FALSE)</f>
        <v>11328.402100559071</v>
      </c>
      <c r="F32" s="6" t="s">
        <v>70</v>
      </c>
      <c r="G32" s="11" t="str">
        <f t="shared" si="4"/>
        <v>56815.4613</v>
      </c>
      <c r="H32" s="26">
        <f t="shared" si="5"/>
        <v>11917</v>
      </c>
      <c r="I32" s="54" t="s">
        <v>160</v>
      </c>
      <c r="J32" s="55" t="s">
        <v>161</v>
      </c>
      <c r="K32" s="54">
        <v>11917</v>
      </c>
      <c r="L32" s="54" t="s">
        <v>162</v>
      </c>
      <c r="M32" s="55" t="s">
        <v>91</v>
      </c>
      <c r="N32" s="55" t="s">
        <v>97</v>
      </c>
      <c r="O32" s="56" t="s">
        <v>98</v>
      </c>
      <c r="P32" s="57" t="s">
        <v>163</v>
      </c>
    </row>
    <row r="33" spans="1:16" ht="12.75" customHeight="1" thickBot="1">
      <c r="A33" s="26" t="str">
        <f t="shared" si="0"/>
        <v>BAVM 238 </v>
      </c>
      <c r="B33" s="6" t="str">
        <f t="shared" si="1"/>
        <v>II</v>
      </c>
      <c r="C33" s="26">
        <f t="shared" si="2"/>
        <v>56821.430500000002</v>
      </c>
      <c r="D33" s="11" t="str">
        <f t="shared" si="3"/>
        <v>vis</v>
      </c>
      <c r="E33" s="53">
        <f>VLOOKUP(C33,Active!C$21:E$973,3,FALSE)</f>
        <v>11341.90194677137</v>
      </c>
      <c r="F33" s="6" t="s">
        <v>70</v>
      </c>
      <c r="G33" s="11" t="str">
        <f t="shared" si="4"/>
        <v>56821.4305</v>
      </c>
      <c r="H33" s="26">
        <f t="shared" si="5"/>
        <v>11933.5</v>
      </c>
      <c r="I33" s="54" t="s">
        <v>164</v>
      </c>
      <c r="J33" s="55" t="s">
        <v>165</v>
      </c>
      <c r="K33" s="54">
        <v>11933.5</v>
      </c>
      <c r="L33" s="54" t="s">
        <v>166</v>
      </c>
      <c r="M33" s="55" t="s">
        <v>91</v>
      </c>
      <c r="N33" s="55" t="s">
        <v>97</v>
      </c>
      <c r="O33" s="56" t="s">
        <v>98</v>
      </c>
      <c r="P33" s="57" t="s">
        <v>163</v>
      </c>
    </row>
    <row r="34" spans="1:16" ht="12.75" customHeight="1" thickBot="1">
      <c r="A34" s="26" t="str">
        <f t="shared" si="0"/>
        <v>BAVM 239 </v>
      </c>
      <c r="B34" s="6" t="str">
        <f t="shared" si="1"/>
        <v>II</v>
      </c>
      <c r="C34" s="26">
        <f t="shared" si="2"/>
        <v>56830.498</v>
      </c>
      <c r="D34" s="11" t="str">
        <f t="shared" si="3"/>
        <v>vis</v>
      </c>
      <c r="E34" s="53">
        <f>VLOOKUP(C34,Active!C$21:E$973,3,FALSE)</f>
        <v>11362.408858171555</v>
      </c>
      <c r="F34" s="6" t="s">
        <v>70</v>
      </c>
      <c r="G34" s="11" t="str">
        <f t="shared" si="4"/>
        <v>56830.4980</v>
      </c>
      <c r="H34" s="26">
        <f t="shared" si="5"/>
        <v>11958.5</v>
      </c>
      <c r="I34" s="54" t="s">
        <v>167</v>
      </c>
      <c r="J34" s="55" t="s">
        <v>168</v>
      </c>
      <c r="K34" s="54">
        <v>11958.5</v>
      </c>
      <c r="L34" s="54" t="s">
        <v>169</v>
      </c>
      <c r="M34" s="55" t="s">
        <v>91</v>
      </c>
      <c r="N34" s="55" t="s">
        <v>97</v>
      </c>
      <c r="O34" s="56" t="s">
        <v>98</v>
      </c>
      <c r="P34" s="57" t="s">
        <v>170</v>
      </c>
    </row>
    <row r="35" spans="1:16" ht="12.75" customHeight="1" thickBot="1">
      <c r="A35" s="26" t="str">
        <f t="shared" si="0"/>
        <v>BAVM 239 </v>
      </c>
      <c r="B35" s="6" t="str">
        <f t="shared" si="1"/>
        <v>II</v>
      </c>
      <c r="C35" s="26">
        <f t="shared" si="2"/>
        <v>56855.485500000003</v>
      </c>
      <c r="D35" s="11" t="str">
        <f t="shared" si="3"/>
        <v>vis</v>
      </c>
      <c r="E35" s="53">
        <f>VLOOKUP(C35,Active!C$21:E$973,3,FALSE)</f>
        <v>11418.920184183395</v>
      </c>
      <c r="F35" s="6" t="s">
        <v>70</v>
      </c>
      <c r="G35" s="11" t="str">
        <f t="shared" si="4"/>
        <v>56855.4855</v>
      </c>
      <c r="H35" s="26">
        <f t="shared" si="5"/>
        <v>12027.5</v>
      </c>
      <c r="I35" s="54" t="s">
        <v>171</v>
      </c>
      <c r="J35" s="55" t="s">
        <v>172</v>
      </c>
      <c r="K35" s="54">
        <v>12027.5</v>
      </c>
      <c r="L35" s="54" t="s">
        <v>173</v>
      </c>
      <c r="M35" s="55" t="s">
        <v>91</v>
      </c>
      <c r="N35" s="55" t="s">
        <v>97</v>
      </c>
      <c r="O35" s="56" t="s">
        <v>98</v>
      </c>
      <c r="P35" s="57" t="s">
        <v>170</v>
      </c>
    </row>
    <row r="36" spans="1:16" ht="12.75" customHeight="1" thickBot="1">
      <c r="A36" s="26" t="str">
        <f t="shared" si="0"/>
        <v>BAVM 239 </v>
      </c>
      <c r="B36" s="6" t="str">
        <f t="shared" si="1"/>
        <v>II</v>
      </c>
      <c r="C36" s="26">
        <f t="shared" si="2"/>
        <v>56871.408499999998</v>
      </c>
      <c r="D36" s="11" t="str">
        <f t="shared" si="3"/>
        <v>vis</v>
      </c>
      <c r="E36" s="53">
        <f>VLOOKUP(C36,Active!C$21:E$973,3,FALSE)</f>
        <v>11454.931383546522</v>
      </c>
      <c r="F36" s="6" t="s">
        <v>70</v>
      </c>
      <c r="G36" s="11" t="str">
        <f t="shared" si="4"/>
        <v>56871.4085</v>
      </c>
      <c r="H36" s="26">
        <f t="shared" si="5"/>
        <v>12071.5</v>
      </c>
      <c r="I36" s="54" t="s">
        <v>174</v>
      </c>
      <c r="J36" s="55" t="s">
        <v>175</v>
      </c>
      <c r="K36" s="54">
        <v>12071.5</v>
      </c>
      <c r="L36" s="54" t="s">
        <v>176</v>
      </c>
      <c r="M36" s="55" t="s">
        <v>91</v>
      </c>
      <c r="N36" s="55" t="s">
        <v>97</v>
      </c>
      <c r="O36" s="56" t="s">
        <v>98</v>
      </c>
      <c r="P36" s="57" t="s">
        <v>170</v>
      </c>
    </row>
    <row r="37" spans="1:16" ht="12.75" customHeight="1" thickBot="1">
      <c r="A37" s="26" t="str">
        <f t="shared" si="0"/>
        <v>BAVM 239 </v>
      </c>
      <c r="B37" s="6" t="str">
        <f t="shared" si="1"/>
        <v>II</v>
      </c>
      <c r="C37" s="26">
        <f t="shared" si="2"/>
        <v>56921.376700000001</v>
      </c>
      <c r="D37" s="11" t="str">
        <f t="shared" si="3"/>
        <v>vis</v>
      </c>
      <c r="E37" s="53">
        <f>VLOOKUP(C37,Active!C$21:E$973,3,FALSE)</f>
        <v>11567.938656800134</v>
      </c>
      <c r="F37" s="6" t="s">
        <v>70</v>
      </c>
      <c r="G37" s="11" t="str">
        <f t="shared" si="4"/>
        <v>56921.3767</v>
      </c>
      <c r="H37" s="26">
        <f t="shared" si="5"/>
        <v>12209.5</v>
      </c>
      <c r="I37" s="54" t="s">
        <v>177</v>
      </c>
      <c r="J37" s="55" t="s">
        <v>178</v>
      </c>
      <c r="K37" s="54">
        <v>12209.5</v>
      </c>
      <c r="L37" s="54" t="s">
        <v>179</v>
      </c>
      <c r="M37" s="55" t="s">
        <v>91</v>
      </c>
      <c r="N37" s="55" t="s">
        <v>97</v>
      </c>
      <c r="O37" s="56" t="s">
        <v>98</v>
      </c>
      <c r="P37" s="57" t="s">
        <v>170</v>
      </c>
    </row>
    <row r="38" spans="1:16" ht="12.75" customHeight="1" thickBot="1">
      <c r="A38" s="26" t="str">
        <f t="shared" si="0"/>
        <v>BAVM 239 </v>
      </c>
      <c r="B38" s="6" t="str">
        <f t="shared" si="1"/>
        <v>I</v>
      </c>
      <c r="C38" s="26">
        <f t="shared" si="2"/>
        <v>56923.370499999997</v>
      </c>
      <c r="D38" s="11" t="str">
        <f t="shared" si="3"/>
        <v>vis</v>
      </c>
      <c r="E38" s="53">
        <f>VLOOKUP(C38,Active!C$21:E$973,3,FALSE)</f>
        <v>11572.447802645143</v>
      </c>
      <c r="F38" s="6" t="s">
        <v>70</v>
      </c>
      <c r="G38" s="11" t="str">
        <f t="shared" si="4"/>
        <v>56923.3705</v>
      </c>
      <c r="H38" s="26">
        <f t="shared" si="5"/>
        <v>12215</v>
      </c>
      <c r="I38" s="54" t="s">
        <v>180</v>
      </c>
      <c r="J38" s="55" t="s">
        <v>181</v>
      </c>
      <c r="K38" s="54">
        <v>12215</v>
      </c>
      <c r="L38" s="54" t="s">
        <v>182</v>
      </c>
      <c r="M38" s="55" t="s">
        <v>91</v>
      </c>
      <c r="N38" s="55" t="s">
        <v>97</v>
      </c>
      <c r="O38" s="56" t="s">
        <v>98</v>
      </c>
      <c r="P38" s="57" t="s">
        <v>170</v>
      </c>
    </row>
    <row r="39" spans="1:16" ht="12.75" customHeight="1" thickBot="1">
      <c r="A39" s="26" t="str">
        <f t="shared" si="0"/>
        <v>BAVM 239 </v>
      </c>
      <c r="B39" s="6" t="str">
        <f t="shared" si="1"/>
        <v>I</v>
      </c>
      <c r="C39" s="26">
        <f t="shared" si="2"/>
        <v>56931.306799999998</v>
      </c>
      <c r="D39" s="11" t="str">
        <f t="shared" si="3"/>
        <v>vis</v>
      </c>
      <c r="E39" s="53">
        <f>VLOOKUP(C39,Active!C$21:E$973,3,FALSE)</f>
        <v>11590.39641041414</v>
      </c>
      <c r="F39" s="6" t="s">
        <v>70</v>
      </c>
      <c r="G39" s="11" t="str">
        <f t="shared" si="4"/>
        <v>56931.3068</v>
      </c>
      <c r="H39" s="26">
        <f t="shared" si="5"/>
        <v>12237</v>
      </c>
      <c r="I39" s="54" t="s">
        <v>183</v>
      </c>
      <c r="J39" s="55" t="s">
        <v>184</v>
      </c>
      <c r="K39" s="54">
        <v>12237</v>
      </c>
      <c r="L39" s="54" t="s">
        <v>185</v>
      </c>
      <c r="M39" s="55" t="s">
        <v>91</v>
      </c>
      <c r="N39" s="55" t="s">
        <v>97</v>
      </c>
      <c r="O39" s="56" t="s">
        <v>98</v>
      </c>
      <c r="P39" s="57" t="s">
        <v>170</v>
      </c>
    </row>
    <row r="40" spans="1:16" ht="12.75" customHeight="1" thickBot="1">
      <c r="A40" s="26" t="str">
        <f t="shared" si="0"/>
        <v>BAVM 239 </v>
      </c>
      <c r="B40" s="6" t="str">
        <f t="shared" si="1"/>
        <v>II</v>
      </c>
      <c r="C40" s="26">
        <f t="shared" si="2"/>
        <v>56931.552499999998</v>
      </c>
      <c r="D40" s="11" t="str">
        <f t="shared" si="3"/>
        <v>vis</v>
      </c>
      <c r="E40" s="53">
        <f>VLOOKUP(C40,Active!C$21:E$973,3,FALSE)</f>
        <v>11590.952081561756</v>
      </c>
      <c r="F40" s="6" t="s">
        <v>70</v>
      </c>
      <c r="G40" s="11" t="str">
        <f t="shared" si="4"/>
        <v>56931.5525</v>
      </c>
      <c r="H40" s="26">
        <f t="shared" si="5"/>
        <v>12237.5</v>
      </c>
      <c r="I40" s="54" t="s">
        <v>186</v>
      </c>
      <c r="J40" s="55" t="s">
        <v>187</v>
      </c>
      <c r="K40" s="54">
        <v>12237.5</v>
      </c>
      <c r="L40" s="54" t="s">
        <v>188</v>
      </c>
      <c r="M40" s="55" t="s">
        <v>91</v>
      </c>
      <c r="N40" s="55" t="s">
        <v>97</v>
      </c>
      <c r="O40" s="56" t="s">
        <v>98</v>
      </c>
      <c r="P40" s="57" t="s">
        <v>170</v>
      </c>
    </row>
    <row r="41" spans="1:16" ht="12.75" customHeight="1" thickBot="1">
      <c r="A41" s="26" t="str">
        <f t="shared" si="0"/>
        <v>BAVM 239 </v>
      </c>
      <c r="B41" s="6" t="str">
        <f t="shared" si="1"/>
        <v>II</v>
      </c>
      <c r="C41" s="26">
        <f t="shared" si="2"/>
        <v>56933.309200000003</v>
      </c>
      <c r="D41" s="11" t="str">
        <f t="shared" si="3"/>
        <v>vis</v>
      </c>
      <c r="E41" s="53">
        <f>VLOOKUP(C41,Active!C$21:E$973,3,FALSE)</f>
        <v>11594.925005880126</v>
      </c>
      <c r="F41" s="6" t="s">
        <v>70</v>
      </c>
      <c r="G41" s="11" t="str">
        <f t="shared" si="4"/>
        <v>56933.3092</v>
      </c>
      <c r="H41" s="26">
        <f t="shared" si="5"/>
        <v>12242.5</v>
      </c>
      <c r="I41" s="54" t="s">
        <v>189</v>
      </c>
      <c r="J41" s="55" t="s">
        <v>190</v>
      </c>
      <c r="K41" s="54">
        <v>12242.5</v>
      </c>
      <c r="L41" s="54" t="s">
        <v>191</v>
      </c>
      <c r="M41" s="55" t="s">
        <v>91</v>
      </c>
      <c r="N41" s="55" t="s">
        <v>192</v>
      </c>
      <c r="O41" s="56" t="s">
        <v>193</v>
      </c>
      <c r="P41" s="57" t="s">
        <v>170</v>
      </c>
    </row>
    <row r="42" spans="1:16" ht="12.75" customHeight="1" thickBot="1">
      <c r="A42" s="26" t="str">
        <f t="shared" si="0"/>
        <v>BAVM 239 </v>
      </c>
      <c r="B42" s="6" t="str">
        <f t="shared" si="1"/>
        <v>I</v>
      </c>
      <c r="C42" s="26">
        <f t="shared" si="2"/>
        <v>56933.532299999999</v>
      </c>
      <c r="D42" s="11" t="str">
        <f t="shared" si="3"/>
        <v>vis</v>
      </c>
      <c r="E42" s="53">
        <f>VLOOKUP(C42,Active!C$21:E$973,3,FALSE)</f>
        <v>11595.429565233122</v>
      </c>
      <c r="F42" s="6" t="s">
        <v>70</v>
      </c>
      <c r="G42" s="11" t="str">
        <f t="shared" si="4"/>
        <v>56933.5323</v>
      </c>
      <c r="H42" s="26">
        <f t="shared" si="5"/>
        <v>12243</v>
      </c>
      <c r="I42" s="54" t="s">
        <v>194</v>
      </c>
      <c r="J42" s="55" t="s">
        <v>195</v>
      </c>
      <c r="K42" s="54" t="s">
        <v>196</v>
      </c>
      <c r="L42" s="54" t="s">
        <v>197</v>
      </c>
      <c r="M42" s="55" t="s">
        <v>91</v>
      </c>
      <c r="N42" s="55" t="s">
        <v>192</v>
      </c>
      <c r="O42" s="56" t="s">
        <v>193</v>
      </c>
      <c r="P42" s="57" t="s">
        <v>170</v>
      </c>
    </row>
    <row r="43" spans="1:16" ht="12.75" customHeight="1" thickBot="1">
      <c r="A43" s="26" t="str">
        <f t="shared" si="0"/>
        <v>BAVM 239 </v>
      </c>
      <c r="B43" s="6" t="str">
        <f t="shared" si="1"/>
        <v>I</v>
      </c>
      <c r="C43" s="26">
        <f t="shared" si="2"/>
        <v>56935.298799999997</v>
      </c>
      <c r="D43" s="11" t="str">
        <f t="shared" si="3"/>
        <v>vis</v>
      </c>
      <c r="E43" s="53">
        <f>VLOOKUP(C43,Active!C$21:E$973,3,FALSE)</f>
        <v>11599.424653073034</v>
      </c>
      <c r="F43" s="6" t="s">
        <v>70</v>
      </c>
      <c r="G43" s="11" t="str">
        <f t="shared" si="4"/>
        <v>56935.2988</v>
      </c>
      <c r="H43" s="26">
        <f t="shared" si="5"/>
        <v>12248</v>
      </c>
      <c r="I43" s="54" t="s">
        <v>198</v>
      </c>
      <c r="J43" s="55" t="s">
        <v>199</v>
      </c>
      <c r="K43" s="54" t="s">
        <v>200</v>
      </c>
      <c r="L43" s="54" t="s">
        <v>201</v>
      </c>
      <c r="M43" s="55" t="s">
        <v>91</v>
      </c>
      <c r="N43" s="55" t="s">
        <v>97</v>
      </c>
      <c r="O43" s="56" t="s">
        <v>98</v>
      </c>
      <c r="P43" s="57" t="s">
        <v>170</v>
      </c>
    </row>
    <row r="44" spans="1:16" ht="12.75" customHeight="1" thickBot="1">
      <c r="A44" s="26" t="str">
        <f t="shared" si="0"/>
        <v>BAVM 239 </v>
      </c>
      <c r="B44" s="6" t="str">
        <f t="shared" si="1"/>
        <v>II</v>
      </c>
      <c r="C44" s="26">
        <f t="shared" si="2"/>
        <v>56935.504699999998</v>
      </c>
      <c r="D44" s="11" t="str">
        <f t="shared" si="3"/>
        <v>vis</v>
      </c>
      <c r="E44" s="53">
        <f>VLOOKUP(C44,Active!C$21:E$973,3,FALSE)</f>
        <v>11599.890313184125</v>
      </c>
      <c r="F44" s="6" t="s">
        <v>70</v>
      </c>
      <c r="G44" s="11" t="str">
        <f t="shared" si="4"/>
        <v>56935.5047</v>
      </c>
      <c r="H44" s="26">
        <f t="shared" si="5"/>
        <v>12248.5</v>
      </c>
      <c r="I44" s="54" t="s">
        <v>202</v>
      </c>
      <c r="J44" s="55" t="s">
        <v>203</v>
      </c>
      <c r="K44" s="54" t="s">
        <v>204</v>
      </c>
      <c r="L44" s="54" t="s">
        <v>205</v>
      </c>
      <c r="M44" s="55" t="s">
        <v>91</v>
      </c>
      <c r="N44" s="55" t="s">
        <v>97</v>
      </c>
      <c r="O44" s="56" t="s">
        <v>98</v>
      </c>
      <c r="P44" s="57" t="s">
        <v>170</v>
      </c>
    </row>
    <row r="45" spans="1:16" ht="12.75" customHeight="1" thickBot="1">
      <c r="A45" s="26" t="str">
        <f t="shared" si="0"/>
        <v> BBS 124 </v>
      </c>
      <c r="B45" s="6" t="str">
        <f t="shared" si="1"/>
        <v>I</v>
      </c>
      <c r="C45" s="26">
        <f t="shared" si="2"/>
        <v>51806.398399999998</v>
      </c>
      <c r="D45" s="11" t="str">
        <f t="shared" si="3"/>
        <v>vis</v>
      </c>
      <c r="E45" s="53">
        <f>VLOOKUP(C45,Active!C$21:E$973,3,FALSE)</f>
        <v>-1.3569502997101466E-2</v>
      </c>
      <c r="F45" s="6" t="s">
        <v>70</v>
      </c>
      <c r="G45" s="11" t="str">
        <f t="shared" si="4"/>
        <v>51806.3984</v>
      </c>
      <c r="H45" s="26">
        <f t="shared" si="5"/>
        <v>-1916</v>
      </c>
      <c r="I45" s="54" t="s">
        <v>72</v>
      </c>
      <c r="J45" s="55" t="s">
        <v>73</v>
      </c>
      <c r="K45" s="54">
        <v>-1916</v>
      </c>
      <c r="L45" s="54" t="s">
        <v>74</v>
      </c>
      <c r="M45" s="55" t="s">
        <v>75</v>
      </c>
      <c r="N45" s="55" t="s">
        <v>76</v>
      </c>
      <c r="O45" s="56" t="s">
        <v>77</v>
      </c>
      <c r="P45" s="56" t="s">
        <v>78</v>
      </c>
    </row>
    <row r="46" spans="1:16" ht="12.75" customHeight="1" thickBot="1">
      <c r="A46" s="26" t="str">
        <f t="shared" si="0"/>
        <v> BBS 124 </v>
      </c>
      <c r="B46" s="6" t="str">
        <f t="shared" si="1"/>
        <v>II</v>
      </c>
      <c r="C46" s="26">
        <f t="shared" si="2"/>
        <v>51809.474699999999</v>
      </c>
      <c r="D46" s="11" t="str">
        <f t="shared" si="3"/>
        <v>vis</v>
      </c>
      <c r="E46" s="53">
        <f>VLOOKUP(C46,Active!C$21:E$973,3,FALSE)</f>
        <v>6.9437408405841357</v>
      </c>
      <c r="F46" s="6" t="s">
        <v>70</v>
      </c>
      <c r="G46" s="11" t="str">
        <f t="shared" si="4"/>
        <v>51809.4747</v>
      </c>
      <c r="H46" s="26">
        <f t="shared" si="5"/>
        <v>-1907.5</v>
      </c>
      <c r="I46" s="54" t="s">
        <v>79</v>
      </c>
      <c r="J46" s="55" t="s">
        <v>80</v>
      </c>
      <c r="K46" s="54">
        <v>-1907.5</v>
      </c>
      <c r="L46" s="54" t="s">
        <v>81</v>
      </c>
      <c r="M46" s="55" t="s">
        <v>75</v>
      </c>
      <c r="N46" s="55" t="s">
        <v>76</v>
      </c>
      <c r="O46" s="56" t="s">
        <v>77</v>
      </c>
      <c r="P46" s="56" t="s">
        <v>78</v>
      </c>
    </row>
    <row r="47" spans="1:16" ht="12.75" customHeight="1" thickBot="1">
      <c r="A47" s="26" t="str">
        <f t="shared" si="0"/>
        <v> BBS 124 </v>
      </c>
      <c r="B47" s="6" t="str">
        <f t="shared" si="1"/>
        <v>I</v>
      </c>
      <c r="C47" s="26">
        <f t="shared" si="2"/>
        <v>51811.482799999998</v>
      </c>
      <c r="D47" s="11" t="str">
        <f t="shared" si="3"/>
        <v>vis</v>
      </c>
      <c r="E47" s="53">
        <f>VLOOKUP(C47,Active!C$21:E$973,3,FALSE)</f>
        <v>11.485227334403461</v>
      </c>
      <c r="F47" s="6" t="s">
        <v>70</v>
      </c>
      <c r="G47" s="11" t="str">
        <f t="shared" si="4"/>
        <v>51811.4828</v>
      </c>
      <c r="H47" s="26">
        <f t="shared" si="5"/>
        <v>-1902</v>
      </c>
      <c r="I47" s="54" t="s">
        <v>82</v>
      </c>
      <c r="J47" s="55" t="s">
        <v>83</v>
      </c>
      <c r="K47" s="54">
        <v>-1902</v>
      </c>
      <c r="L47" s="54" t="s">
        <v>84</v>
      </c>
      <c r="M47" s="55" t="s">
        <v>75</v>
      </c>
      <c r="N47" s="55" t="s">
        <v>76</v>
      </c>
      <c r="O47" s="56" t="s">
        <v>77</v>
      </c>
      <c r="P47" s="56" t="s">
        <v>78</v>
      </c>
    </row>
    <row r="48" spans="1:16" ht="12.75" customHeight="1" thickBot="1">
      <c r="A48" s="26" t="str">
        <f t="shared" si="0"/>
        <v> BBS 124 </v>
      </c>
      <c r="B48" s="6" t="str">
        <f t="shared" si="1"/>
        <v>I</v>
      </c>
      <c r="C48" s="26">
        <f t="shared" si="2"/>
        <v>51814.362399999998</v>
      </c>
      <c r="D48" s="11" t="str">
        <f t="shared" si="3"/>
        <v>vis</v>
      </c>
      <c r="E48" s="53">
        <f>VLOOKUP(C48,Active!C$21:E$973,3,FALSE)</f>
        <v>17.997684138152735</v>
      </c>
      <c r="F48" s="6" t="s">
        <v>70</v>
      </c>
      <c r="G48" s="11" t="str">
        <f t="shared" si="4"/>
        <v>51814.3624</v>
      </c>
      <c r="H48" s="26">
        <f t="shared" si="5"/>
        <v>-1894</v>
      </c>
      <c r="I48" s="54" t="s">
        <v>85</v>
      </c>
      <c r="J48" s="55" t="s">
        <v>86</v>
      </c>
      <c r="K48" s="54">
        <v>-1894</v>
      </c>
      <c r="L48" s="54" t="s">
        <v>87</v>
      </c>
      <c r="M48" s="55" t="s">
        <v>75</v>
      </c>
      <c r="N48" s="55" t="s">
        <v>76</v>
      </c>
      <c r="O48" s="56" t="s">
        <v>77</v>
      </c>
      <c r="P48" s="56" t="s">
        <v>78</v>
      </c>
    </row>
    <row r="49" spans="1:16" ht="12.75" customHeight="1" thickBot="1">
      <c r="A49" s="26" t="str">
        <f t="shared" si="0"/>
        <v>IBVS 5997 </v>
      </c>
      <c r="B49" s="6" t="str">
        <f t="shared" si="1"/>
        <v>II</v>
      </c>
      <c r="C49" s="26">
        <f t="shared" si="2"/>
        <v>55710.445899999999</v>
      </c>
      <c r="D49" s="11" t="str">
        <f t="shared" si="3"/>
        <v>vis</v>
      </c>
      <c r="E49" s="53">
        <f>VLOOKUP(C49,Active!C$21:E$973,3,FALSE)</f>
        <v>8829.3171373776458</v>
      </c>
      <c r="F49" s="6" t="s">
        <v>70</v>
      </c>
      <c r="G49" s="11" t="str">
        <f t="shared" si="4"/>
        <v>55710.4459</v>
      </c>
      <c r="H49" s="26">
        <f t="shared" si="5"/>
        <v>8865.5</v>
      </c>
      <c r="I49" s="54" t="s">
        <v>88</v>
      </c>
      <c r="J49" s="55" t="s">
        <v>89</v>
      </c>
      <c r="K49" s="54">
        <v>8865.5</v>
      </c>
      <c r="L49" s="54" t="s">
        <v>90</v>
      </c>
      <c r="M49" s="55" t="s">
        <v>91</v>
      </c>
      <c r="N49" s="55" t="s">
        <v>70</v>
      </c>
      <c r="O49" s="56" t="s">
        <v>92</v>
      </c>
      <c r="P49" s="57" t="s">
        <v>93</v>
      </c>
    </row>
    <row r="50" spans="1:16">
      <c r="B50" s="6"/>
      <c r="F50" s="6"/>
    </row>
    <row r="51" spans="1:16">
      <c r="B51" s="6"/>
      <c r="F51" s="6"/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</sheetData>
  <phoneticPr fontId="7" type="noConversion"/>
  <hyperlinks>
    <hyperlink ref="P49" r:id="rId1" display="http://www.konkoly.hu/cgi-bin/IBVS?5997" xr:uid="{00000000-0004-0000-0200-000000000000}"/>
    <hyperlink ref="P12" r:id="rId2" display="http://www.bav-astro.de/sfs/BAVM_link.php?BAVMnr=232" xr:uid="{00000000-0004-0000-0200-000001000000}"/>
    <hyperlink ref="P13" r:id="rId3" display="http://www.bav-astro.de/sfs/BAVM_link.php?BAVMnr=232" xr:uid="{00000000-0004-0000-0200-000002000000}"/>
    <hyperlink ref="P14" r:id="rId4" display="http://www.bav-astro.de/sfs/BAVM_link.php?BAVMnr=232" xr:uid="{00000000-0004-0000-0200-000003000000}"/>
    <hyperlink ref="P15" r:id="rId5" display="http://www.bav-astro.de/sfs/BAVM_link.php?BAVMnr=232" xr:uid="{00000000-0004-0000-0200-000004000000}"/>
    <hyperlink ref="P16" r:id="rId6" display="http://www.bav-astro.de/sfs/BAVM_link.php?BAVMnr=232" xr:uid="{00000000-0004-0000-0200-000005000000}"/>
    <hyperlink ref="P17" r:id="rId7" display="http://www.konkoly.hu/cgi-bin/IBVS?6092" xr:uid="{00000000-0004-0000-0200-000006000000}"/>
    <hyperlink ref="P18" r:id="rId8" display="http://www.bav-astro.de/sfs/BAVM_link.php?BAVMnr=232" xr:uid="{00000000-0004-0000-0200-000007000000}"/>
    <hyperlink ref="P19" r:id="rId9" display="http://www.bav-astro.de/sfs/BAVM_link.php?BAVMnr=232" xr:uid="{00000000-0004-0000-0200-000008000000}"/>
    <hyperlink ref="P20" r:id="rId10" display="http://www.bav-astro.de/sfs/BAVM_link.php?BAVMnr=232" xr:uid="{00000000-0004-0000-0200-000009000000}"/>
    <hyperlink ref="P21" r:id="rId11" display="http://www.bav-astro.de/sfs/BAVM_link.php?BAVMnr=234" xr:uid="{00000000-0004-0000-0200-00000A000000}"/>
    <hyperlink ref="P22" r:id="rId12" display="http://www.bav-astro.de/sfs/BAVM_link.php?BAVMnr=234" xr:uid="{00000000-0004-0000-0200-00000B000000}"/>
    <hyperlink ref="P23" r:id="rId13" display="http://www.bav-astro.de/sfs/BAVM_link.php?BAVMnr=234" xr:uid="{00000000-0004-0000-0200-00000C000000}"/>
    <hyperlink ref="P24" r:id="rId14" display="http://www.bav-astro.de/sfs/BAVM_link.php?BAVMnr=234" xr:uid="{00000000-0004-0000-0200-00000D000000}"/>
    <hyperlink ref="P25" r:id="rId15" display="http://www.bav-astro.de/sfs/BAVM_link.php?BAVMnr=234" xr:uid="{00000000-0004-0000-0200-00000E000000}"/>
    <hyperlink ref="P26" r:id="rId16" display="http://www.bav-astro.de/sfs/BAVM_link.php?BAVMnr=234" xr:uid="{00000000-0004-0000-0200-00000F000000}"/>
    <hyperlink ref="P27" r:id="rId17" display="http://www.bav-astro.de/sfs/BAVM_link.php?BAVMnr=234" xr:uid="{00000000-0004-0000-0200-000010000000}"/>
    <hyperlink ref="P28" r:id="rId18" display="http://www.bav-astro.de/sfs/BAVM_link.php?BAVMnr=234" xr:uid="{00000000-0004-0000-0200-000011000000}"/>
    <hyperlink ref="P29" r:id="rId19" display="http://www.bav-astro.de/sfs/BAVM_link.php?BAVMnr=234" xr:uid="{00000000-0004-0000-0200-000012000000}"/>
    <hyperlink ref="P30" r:id="rId20" display="http://www.bav-astro.de/sfs/BAVM_link.php?BAVMnr=234" xr:uid="{00000000-0004-0000-0200-000013000000}"/>
    <hyperlink ref="P31" r:id="rId21" display="http://www.bav-astro.de/sfs/BAVM_link.php?BAVMnr=234" xr:uid="{00000000-0004-0000-0200-000014000000}"/>
    <hyperlink ref="P32" r:id="rId22" display="http://www.bav-astro.de/sfs/BAVM_link.php?BAVMnr=238" xr:uid="{00000000-0004-0000-0200-000015000000}"/>
    <hyperlink ref="P33" r:id="rId23" display="http://www.bav-astro.de/sfs/BAVM_link.php?BAVMnr=238" xr:uid="{00000000-0004-0000-0200-000016000000}"/>
    <hyperlink ref="P34" r:id="rId24" display="http://www.bav-astro.de/sfs/BAVM_link.php?BAVMnr=239" xr:uid="{00000000-0004-0000-0200-000017000000}"/>
    <hyperlink ref="P35" r:id="rId25" display="http://www.bav-astro.de/sfs/BAVM_link.php?BAVMnr=239" xr:uid="{00000000-0004-0000-0200-000018000000}"/>
    <hyperlink ref="P36" r:id="rId26" display="http://www.bav-astro.de/sfs/BAVM_link.php?BAVMnr=239" xr:uid="{00000000-0004-0000-0200-000019000000}"/>
    <hyperlink ref="P37" r:id="rId27" display="http://www.bav-astro.de/sfs/BAVM_link.php?BAVMnr=239" xr:uid="{00000000-0004-0000-0200-00001A000000}"/>
    <hyperlink ref="P38" r:id="rId28" display="http://www.bav-astro.de/sfs/BAVM_link.php?BAVMnr=239" xr:uid="{00000000-0004-0000-0200-00001B000000}"/>
    <hyperlink ref="P39" r:id="rId29" display="http://www.bav-astro.de/sfs/BAVM_link.php?BAVMnr=239" xr:uid="{00000000-0004-0000-0200-00001C000000}"/>
    <hyperlink ref="P40" r:id="rId30" display="http://www.bav-astro.de/sfs/BAVM_link.php?BAVMnr=239" xr:uid="{00000000-0004-0000-0200-00001D000000}"/>
    <hyperlink ref="P41" r:id="rId31" display="http://www.bav-astro.de/sfs/BAVM_link.php?BAVMnr=239" xr:uid="{00000000-0004-0000-0200-00001E000000}"/>
    <hyperlink ref="P42" r:id="rId32" display="http://www.bav-astro.de/sfs/BAVM_link.php?BAVMnr=239" xr:uid="{00000000-0004-0000-0200-00001F000000}"/>
    <hyperlink ref="P43" r:id="rId33" display="http://www.bav-astro.de/sfs/BAVM_link.php?BAVMnr=239" xr:uid="{00000000-0004-0000-0200-000020000000}"/>
    <hyperlink ref="P44" r:id="rId34" display="http://www.bav-astro.de/sfs/BAVM_link.php?BAVMnr=239" xr:uid="{00000000-0004-0000-0200-000021000000}"/>
    <hyperlink ref="P11" r:id="rId35" display="http://www.bav-astro.de/sfs/BAVM_link.php?BAVMnr=241" xr:uid="{00000000-0004-0000-02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2024-02-06T03:20:04Z</dcterms:modified>
</cp:coreProperties>
</file>