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B406BFF-99B4-4223-B56D-56EDCF6441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/>
  <c r="G43" i="1"/>
  <c r="K43" i="1"/>
  <c r="E47" i="1"/>
  <c r="F47" i="1"/>
  <c r="G47" i="1"/>
  <c r="I47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U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I40" i="1"/>
  <c r="E41" i="1"/>
  <c r="F41" i="1"/>
  <c r="G41" i="1"/>
  <c r="I41" i="1"/>
  <c r="E42" i="1"/>
  <c r="F42" i="1"/>
  <c r="G42" i="1"/>
  <c r="I42" i="1"/>
  <c r="E44" i="1"/>
  <c r="F44" i="1"/>
  <c r="G44" i="1"/>
  <c r="K44" i="1"/>
  <c r="E45" i="1"/>
  <c r="F45" i="1"/>
  <c r="G45" i="1"/>
  <c r="K45" i="1"/>
  <c r="E46" i="1"/>
  <c r="F46" i="1"/>
  <c r="G46" i="1"/>
  <c r="K46" i="1"/>
  <c r="E48" i="1"/>
  <c r="F48" i="1"/>
  <c r="G48" i="1"/>
  <c r="J48" i="1"/>
  <c r="Q47" i="1"/>
  <c r="G36" i="2"/>
  <c r="C36" i="2"/>
  <c r="E36" i="2"/>
  <c r="G37" i="2"/>
  <c r="C37" i="2"/>
  <c r="E37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6" i="2"/>
  <c r="D36" i="2"/>
  <c r="B36" i="2"/>
  <c r="A36" i="2"/>
  <c r="H37" i="2"/>
  <c r="B37" i="2"/>
  <c r="D37" i="2"/>
  <c r="A37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F17" i="1" s="1"/>
  <c r="C17" i="1"/>
  <c r="Q48" i="1"/>
  <c r="Q4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C11" i="1"/>
  <c r="C12" i="1"/>
  <c r="C16" i="1" l="1"/>
  <c r="D18" i="1" s="1"/>
  <c r="O47" i="1"/>
  <c r="O22" i="1"/>
  <c r="O41" i="1"/>
  <c r="O26" i="1"/>
  <c r="O24" i="1"/>
  <c r="O33" i="1"/>
  <c r="O45" i="1"/>
  <c r="O37" i="1"/>
  <c r="O35" i="1"/>
  <c r="O44" i="1"/>
  <c r="O25" i="1"/>
  <c r="O36" i="1"/>
  <c r="O48" i="1"/>
  <c r="O27" i="1"/>
  <c r="O39" i="1"/>
  <c r="O40" i="1"/>
  <c r="O21" i="1"/>
  <c r="C15" i="1"/>
  <c r="O46" i="1"/>
  <c r="O31" i="1"/>
  <c r="O28" i="1"/>
  <c r="O32" i="1"/>
  <c r="O34" i="1"/>
  <c r="O38" i="1"/>
  <c r="O29" i="1"/>
  <c r="O23" i="1"/>
  <c r="O30" i="1"/>
  <c r="O42" i="1"/>
  <c r="O43" i="1"/>
  <c r="F18" i="1" l="1"/>
  <c r="F19" i="1" s="1"/>
  <c r="C18" i="1"/>
</calcChain>
</file>

<file path=xl/sharedStrings.xml><?xml version="1.0" encoding="utf-8"?>
<sst xmlns="http://schemas.openxmlformats.org/spreadsheetml/2006/main" count="291" uniqueCount="160">
  <si>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</si>
  <si>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</si>
  <si>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</si>
  <si>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</si>
  <si>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</si>
  <si>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</si>
  <si>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</si>
  <si>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</si>
  <si>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</si>
  <si>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</si>
  <si>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</si>
  <si>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</si>
  <si>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</si>
  <si>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</si>
  <si>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</si>
  <si>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</si>
  <si>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</si>
  <si>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</si>
  <si>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</si>
  <si>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</si>
  <si>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</si>
  <si>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</si>
  <si>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</si>
  <si>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</si>
  <si>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</si>
  <si>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</si>
  <si>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not avail.</t>
  </si>
  <si>
    <t>IBVS 5018</t>
  </si>
  <si>
    <t>BAD?</t>
  </si>
  <si>
    <t>K.Locher BBS 125</t>
  </si>
  <si>
    <t>P.Guilbault BBS 126</t>
  </si>
  <si>
    <t>K.Locher BBS 126</t>
  </si>
  <si>
    <t>IBVS 5543</t>
  </si>
  <si>
    <t>I</t>
  </si>
  <si>
    <t>IBVS 5592</t>
  </si>
  <si>
    <t># of data points:</t>
  </si>
  <si>
    <t>V2290 Cyg /  GSC 03560-01804 /LD 355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</si>
  <si>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</si>
  <si>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</si>
  <si>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</si>
  <si>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</si>
  <si>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</si>
  <si>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</si>
  <si>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5806</t>
  </si>
  <si>
    <t>S6</t>
  </si>
  <si>
    <t>Add cycle</t>
  </si>
  <si>
    <t>Old Cycle</t>
  </si>
  <si>
    <t>Start of linear fit &gt;&gt;&gt;&gt;&gt;&gt;&gt;&gt;&gt;&gt;&gt;&gt;&gt;&gt;&gt;&gt;&gt;&gt;&gt;&gt;&gt;</t>
  </si>
  <si>
    <t>EA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</si>
  <si>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</si>
  <si>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</si>
  <si>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</si>
  <si>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</si>
  <si>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</si>
  <si>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</si>
  <si>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</si>
  <si>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</si>
  <si>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</si>
  <si>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</si>
  <si>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</si>
  <si>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2425327.871 </t>
  </si>
  <si>
    <t> 22.03.1928 08:54 </t>
  </si>
  <si>
    <t> -0.208 </t>
  </si>
  <si>
    <t>P </t>
  </si>
  <si>
    <t> P.Guilbault et al. </t>
  </si>
  <si>
    <t>IBVS 5018 </t>
  </si>
  <si>
    <t>2426914.720 </t>
  </si>
  <si>
    <t> 26.07.1932 05:16 </t>
  </si>
  <si>
    <t> -0.271 </t>
  </si>
  <si>
    <t>2442220.527 </t>
  </si>
  <si>
    <t> 22.06.1974 00:38 </t>
  </si>
  <si>
    <t> 0.009 </t>
  </si>
  <si>
    <t>2443347.671 </t>
  </si>
  <si>
    <t> 23.07.1977 04:06 </t>
  </si>
  <si>
    <t> -0.041 </t>
  </si>
  <si>
    <t>2445606.554 </t>
  </si>
  <si>
    <t> 29.09.1983 01:17 </t>
  </si>
  <si>
    <t> 0.034 </t>
  </si>
  <si>
    <t>2445819.803 </t>
  </si>
  <si>
    <t> 29.04.1984 07:16 </t>
  </si>
  <si>
    <t> -0.000 </t>
  </si>
  <si>
    <t>2446881.865 </t>
  </si>
  <si>
    <t> 27.03.1987 08:45 </t>
  </si>
  <si>
    <t> 0.068 </t>
  </si>
  <si>
    <t>2447270.810 </t>
  </si>
  <si>
    <t> 19.04.1988 07:26 </t>
  </si>
  <si>
    <t> 0.021 </t>
  </si>
  <si>
    <t>2449989.323 </t>
  </si>
  <si>
    <t> 28.09.1995 19:45 </t>
  </si>
  <si>
    <t> 0.007 </t>
  </si>
  <si>
    <t>2450274.465 </t>
  </si>
  <si>
    <t> 09.07.1996 23:09 </t>
  </si>
  <si>
    <t> 0.035 </t>
  </si>
  <si>
    <t>2451255.616 </t>
  </si>
  <si>
    <t> 18.03.1999 02:47 </t>
  </si>
  <si>
    <t> -0.136 </t>
  </si>
  <si>
    <t>2451513.298 </t>
  </si>
  <si>
    <t> 30.11.1999 19:09 </t>
  </si>
  <si>
    <t> 0.060 </t>
  </si>
  <si>
    <t>2451842.5695 </t>
  </si>
  <si>
    <t> 25.10.2000 01:40 </t>
  </si>
  <si>
    <t> 0.0138 </t>
  </si>
  <si>
    <t>V </t>
  </si>
  <si>
    <t> P.Guilbault </t>
  </si>
  <si>
    <t>2451843.6716 </t>
  </si>
  <si>
    <t> 26.10.2000 04:07 </t>
  </si>
  <si>
    <t> 0.0108 </t>
  </si>
  <si>
    <t>2451853.6206 </t>
  </si>
  <si>
    <t> 05.11.2000 02:53 </t>
  </si>
  <si>
    <t> 0.0139 </t>
  </si>
  <si>
    <t>E </t>
  </si>
  <si>
    <t>G</t>
  </si>
  <si>
    <t> D.Kaiser </t>
  </si>
  <si>
    <t> G.Lubcke </t>
  </si>
  <si>
    <t>2451854.7257 </t>
  </si>
  <si>
    <t> 06.11.2000 05:25 </t>
  </si>
  <si>
    <t> G.Billings </t>
  </si>
  <si>
    <t>2451874.6174 </t>
  </si>
  <si>
    <t> 26.11.2000 02:49 </t>
  </si>
  <si>
    <t> 0.0140 </t>
  </si>
  <si>
    <t> A.Henden </t>
  </si>
  <si>
    <t>2451905.5599 </t>
  </si>
  <si>
    <t> 27.12.2000 01:26 </t>
  </si>
  <si>
    <t>2452041.494 </t>
  </si>
  <si>
    <t> 11.05.2001 23:51 </t>
  </si>
  <si>
    <t> 0.022 </t>
  </si>
  <si>
    <t> K.Locher </t>
  </si>
  <si>
    <t> BBS 125 </t>
  </si>
  <si>
    <t>2452137.629 </t>
  </si>
  <si>
    <t> 16.08.2001 03:05 </t>
  </si>
  <si>
    <t> 0.014 </t>
  </si>
  <si>
    <t> BBS 126 </t>
  </si>
  <si>
    <t>2452197.315 </t>
  </si>
  <si>
    <t> 14.10.2001 19:33 </t>
  </si>
  <si>
    <t> 0.025 </t>
  </si>
  <si>
    <t>2452840.458 </t>
  </si>
  <si>
    <t> 19.07.2003 22:59 </t>
  </si>
  <si>
    <t> 0.004 </t>
  </si>
  <si>
    <t> BBS 130 </t>
  </si>
  <si>
    <t>2452849.3049 </t>
  </si>
  <si>
    <t> 28.07.2003 19:19 </t>
  </si>
  <si>
    <t> 0.0102 </t>
  </si>
  <si>
    <t>?</t>
  </si>
  <si>
    <t> T.Krajci </t>
  </si>
  <si>
    <t>IBVS 5592 </t>
  </si>
  <si>
    <t>2453124.4724 </t>
  </si>
  <si>
    <t> 28.04.2004 23:20 </t>
  </si>
  <si>
    <t> 0.0097 </t>
  </si>
  <si>
    <t>2453958.8123 </t>
  </si>
  <si>
    <t> 11.08.2006 07:29 </t>
  </si>
  <si>
    <t> 0.0050 </t>
  </si>
  <si>
    <t>C </t>
  </si>
  <si>
    <t>o</t>
  </si>
  <si>
    <t>IBVS 5806 </t>
  </si>
  <si>
    <t>2454002.4665 </t>
  </si>
  <si>
    <t> 23.09.2006 23:11 </t>
  </si>
  <si>
    <t> 0.0081 </t>
  </si>
  <si>
    <t>-I</t>
  </si>
  <si>
    <t> F. Agerer </t>
  </si>
  <si>
    <t>BAVM 183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</si>
</sst>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5" formatCode="0.000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2" fontId="0" fillId="0" borderId="0" xfId="0" applyNumberFormat="1" applyAlignment="1"/>
    <xf numFmtId="175" fontId="0" fillId="0" borderId="0" xfId="0" applyNumberFormat="1" applyAlignment="1"/>
    <xf numFmtId="0" fontId="9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7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7" fillId="2" borderId="13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0" fillId="0" borderId="0" xfId="0" applyNumberFormat="1" applyAlignment="1">
      <alignment horizontal="left" vertical="top"/>
    </xf>
    <xf numFmtId="0" fontId="18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V2290 Cyg - O-C Diagr.</a:t>
            </a:r>
          </a:p>
        </c:rich>
      </c:tx>
      <c:layout>
        <c:manualLayout>
          <c:xMode val="edge"/>
          <c:yMode val="edge"/>
          <c:x val="0.348718487112187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4723926380368099"/>
          <c:w val="0.7965825263463647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B7-421B-98BA-6AD7397097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9">
                  <c:v>1.2740899997879751E-2</c:v>
                </c:pt>
                <c:pt idx="20">
                  <c:v>4.5715999949607067E-3</c:v>
                </c:pt>
                <c:pt idx="21">
                  <c:v>1.5501000001677312E-2</c:v>
                </c:pt>
                <c:pt idx="26">
                  <c:v>-6.8756000036955811E-3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B7-421B-98BA-6AD7397097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-3.8846500028739683E-3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B7-421B-98BA-6AD7397097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-0.17541440000422881</c:v>
                </c:pt>
                <c:pt idx="1">
                  <c:v>-0.24125480000293464</c:v>
                </c:pt>
                <c:pt idx="2">
                  <c:v>1.5230199998768512E-2</c:v>
                </c:pt>
                <c:pt idx="3">
                  <c:v>-3.6547800002153963E-2</c:v>
                </c:pt>
                <c:pt idx="4">
                  <c:v>3.4520599991083145E-2</c:v>
                </c:pt>
                <c:pt idx="5">
                  <c:v>3.9789999573258683E-4</c:v>
                </c:pt>
                <c:pt idx="6">
                  <c:v>6.715999999869382E-2</c:v>
                </c:pt>
                <c:pt idx="7">
                  <c:v>1.910719999432331E-2</c:v>
                </c:pt>
                <c:pt idx="8">
                  <c:v>1.1131999926874414E-3</c:v>
                </c:pt>
                <c:pt idx="10">
                  <c:v>-0.14349619999848073</c:v>
                </c:pt>
                <c:pt idx="11">
                  <c:v>5.1625100000819657E-2</c:v>
                </c:pt>
                <c:pt idx="12">
                  <c:v>5.1428999940981157E-3</c:v>
                </c:pt>
                <c:pt idx="13">
                  <c:v>2.148999999917578E-3</c:v>
                </c:pt>
                <c:pt idx="14">
                  <c:v>5.3038999976706691E-3</c:v>
                </c:pt>
                <c:pt idx="15">
                  <c:v>5.3038999976706691E-3</c:v>
                </c:pt>
                <c:pt idx="16">
                  <c:v>5.310000000463333E-3</c:v>
                </c:pt>
                <c:pt idx="17">
                  <c:v>5.3198000023257919E-3</c:v>
                </c:pt>
                <c:pt idx="18">
                  <c:v>5.1906000007875264E-3</c:v>
                </c:pt>
                <c:pt idx="22">
                  <c:v>-6.1488000064855441E-3</c:v>
                </c:pt>
                <c:pt idx="23">
                  <c:v>0</c:v>
                </c:pt>
                <c:pt idx="24">
                  <c:v>-8.8110000069718808E-4</c:v>
                </c:pt>
                <c:pt idx="25">
                  <c:v>-6.8756001273868605E-3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B7-421B-98BA-6AD7397097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B7-421B-98BA-6AD7397097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B7-421B-98BA-6AD7397097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10">
                    <c:v>0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22">
                    <c:v>5.0000000000000001E-3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B7-421B-98BA-6AD7397097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3.5371131965906265E-2</c:v>
                </c:pt>
                <c:pt idx="1">
                  <c:v>3.3705975253228229E-2</c:v>
                </c:pt>
                <c:pt idx="2">
                  <c:v>1.7645793867022912E-2</c:v>
                </c:pt>
                <c:pt idx="3">
                  <c:v>1.6463022385872775E-2</c:v>
                </c:pt>
                <c:pt idx="4">
                  <c:v>1.4092841104038576E-2</c:v>
                </c:pt>
                <c:pt idx="5">
                  <c:v>1.3869042186526834E-2</c:v>
                </c:pt>
                <c:pt idx="6">
                  <c:v>1.2754685918502047E-2</c:v>
                </c:pt>
                <c:pt idx="7">
                  <c:v>1.2346513799516901E-2</c:v>
                </c:pt>
                <c:pt idx="8">
                  <c:v>9.4939472861548021E-3</c:v>
                </c:pt>
                <c:pt idx="9">
                  <c:v>9.1947756762168261E-3</c:v>
                </c:pt>
                <c:pt idx="10">
                  <c:v>8.1650687396861172E-3</c:v>
                </c:pt>
                <c:pt idx="11">
                  <c:v>7.8948866268351535E-3</c:v>
                </c:pt>
                <c:pt idx="12">
                  <c:v>7.5493318215579565E-3</c:v>
                </c:pt>
                <c:pt idx="13">
                  <c:v>7.5481722416744761E-3</c:v>
                </c:pt>
                <c:pt idx="14">
                  <c:v>7.5377360227231512E-3</c:v>
                </c:pt>
                <c:pt idx="15">
                  <c:v>7.5377360227231512E-3</c:v>
                </c:pt>
                <c:pt idx="16">
                  <c:v>7.5365764428396709E-3</c:v>
                </c:pt>
                <c:pt idx="17">
                  <c:v>7.5157040049370219E-3</c:v>
                </c:pt>
                <c:pt idx="18">
                  <c:v>7.4832357681995669E-3</c:v>
                </c:pt>
                <c:pt idx="19">
                  <c:v>7.3406074425314619E-3</c:v>
                </c:pt>
                <c:pt idx="20">
                  <c:v>7.2397239926686556E-3</c:v>
                </c:pt>
                <c:pt idx="21">
                  <c:v>7.1771066789607079E-3</c:v>
                </c:pt>
                <c:pt idx="22">
                  <c:v>6.5022311867750406E-3</c:v>
                </c:pt>
                <c:pt idx="23">
                  <c:v>6.492954547707196E-3</c:v>
                </c:pt>
                <c:pt idx="24">
                  <c:v>6.2042191567205449E-3</c:v>
                </c:pt>
                <c:pt idx="25">
                  <c:v>5.3287363446927454E-3</c:v>
                </c:pt>
                <c:pt idx="26">
                  <c:v>5.3287363446927454E-3</c:v>
                </c:pt>
                <c:pt idx="27">
                  <c:v>5.2829329392952654E-3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B7-421B-98BA-6AD7397097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-24904</c:v>
                </c:pt>
                <c:pt idx="1">
                  <c:v>-23468</c:v>
                </c:pt>
                <c:pt idx="2">
                  <c:v>-9618</c:v>
                </c:pt>
                <c:pt idx="3">
                  <c:v>-8598</c:v>
                </c:pt>
                <c:pt idx="4">
                  <c:v>-6554</c:v>
                </c:pt>
                <c:pt idx="5">
                  <c:v>-6361</c:v>
                </c:pt>
                <c:pt idx="6">
                  <c:v>-5400</c:v>
                </c:pt>
                <c:pt idx="7">
                  <c:v>-5048</c:v>
                </c:pt>
                <c:pt idx="8">
                  <c:v>-2588</c:v>
                </c:pt>
                <c:pt idx="9">
                  <c:v>-2330</c:v>
                </c:pt>
                <c:pt idx="10">
                  <c:v>-1442</c:v>
                </c:pt>
                <c:pt idx="11">
                  <c:v>-1209</c:v>
                </c:pt>
                <c:pt idx="12">
                  <c:v>-911</c:v>
                </c:pt>
                <c:pt idx="13">
                  <c:v>-910</c:v>
                </c:pt>
                <c:pt idx="14">
                  <c:v>-901</c:v>
                </c:pt>
                <c:pt idx="15">
                  <c:v>-901</c:v>
                </c:pt>
                <c:pt idx="16">
                  <c:v>-900</c:v>
                </c:pt>
                <c:pt idx="17">
                  <c:v>-882</c:v>
                </c:pt>
                <c:pt idx="18">
                  <c:v>-854</c:v>
                </c:pt>
                <c:pt idx="19">
                  <c:v>-731</c:v>
                </c:pt>
                <c:pt idx="20">
                  <c:v>-644</c:v>
                </c:pt>
                <c:pt idx="21">
                  <c:v>-590</c:v>
                </c:pt>
                <c:pt idx="22">
                  <c:v>-8</c:v>
                </c:pt>
                <c:pt idx="23">
                  <c:v>0</c:v>
                </c:pt>
                <c:pt idx="24">
                  <c:v>249</c:v>
                </c:pt>
                <c:pt idx="25">
                  <c:v>1004</c:v>
                </c:pt>
                <c:pt idx="26">
                  <c:v>1004</c:v>
                </c:pt>
                <c:pt idx="27">
                  <c:v>1043.5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">
                  <c:v>-0.14349619999848073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B7-421B-98BA-6AD73970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25880"/>
        <c:axId val="1"/>
      </c:scatterChart>
      <c:valAx>
        <c:axId val="69532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8204006550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2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8052134508827"/>
          <c:y val="0.92024539877300615"/>
          <c:w val="0.822223657940193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38100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0031606-2599-0F3A-4981-7885EF24A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18" TargetMode="External"/><Relationship Id="rId13" Type="http://schemas.openxmlformats.org/officeDocument/2006/relationships/hyperlink" Target="http://www.konkoly.hu/cgi-bin/IBVS?5018" TargetMode="External"/><Relationship Id="rId18" Type="http://schemas.openxmlformats.org/officeDocument/2006/relationships/hyperlink" Target="http://www.konkoly.hu/cgi-bin/IBVS?5018" TargetMode="External"/><Relationship Id="rId3" Type="http://schemas.openxmlformats.org/officeDocument/2006/relationships/hyperlink" Target="http://www.konkoly.hu/cgi-bin/IBVS?5018" TargetMode="External"/><Relationship Id="rId21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018" TargetMode="External"/><Relationship Id="rId12" Type="http://schemas.openxmlformats.org/officeDocument/2006/relationships/hyperlink" Target="http://www.konkoly.hu/cgi-bin/IBVS?5018" TargetMode="External"/><Relationship Id="rId17" Type="http://schemas.openxmlformats.org/officeDocument/2006/relationships/hyperlink" Target="http://www.konkoly.hu/cgi-bin/IBVS?5018" TargetMode="External"/><Relationship Id="rId2" Type="http://schemas.openxmlformats.org/officeDocument/2006/relationships/hyperlink" Target="http://www.konkoly.hu/cgi-bin/IBVS?5018" TargetMode="External"/><Relationship Id="rId16" Type="http://schemas.openxmlformats.org/officeDocument/2006/relationships/hyperlink" Target="http://www.konkoly.hu/cgi-bin/IBVS?5018" TargetMode="External"/><Relationship Id="rId20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018" TargetMode="External"/><Relationship Id="rId6" Type="http://schemas.openxmlformats.org/officeDocument/2006/relationships/hyperlink" Target="http://www.konkoly.hu/cgi-bin/IBVS?5018" TargetMode="External"/><Relationship Id="rId11" Type="http://schemas.openxmlformats.org/officeDocument/2006/relationships/hyperlink" Target="http://www.konkoly.hu/cgi-bin/IBVS?5018" TargetMode="External"/><Relationship Id="rId5" Type="http://schemas.openxmlformats.org/officeDocument/2006/relationships/hyperlink" Target="http://www.konkoly.hu/cgi-bin/IBVS?5018" TargetMode="External"/><Relationship Id="rId15" Type="http://schemas.openxmlformats.org/officeDocument/2006/relationships/hyperlink" Target="http://www.konkoly.hu/cgi-bin/IBVS?5018" TargetMode="External"/><Relationship Id="rId23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konkoly.hu/cgi-bin/IBVS?5018" TargetMode="External"/><Relationship Id="rId19" Type="http://schemas.openxmlformats.org/officeDocument/2006/relationships/hyperlink" Target="http://www.konkoly.hu/cgi-bin/IBVS?5018" TargetMode="External"/><Relationship Id="rId4" Type="http://schemas.openxmlformats.org/officeDocument/2006/relationships/hyperlink" Target="http://www.konkoly.hu/cgi-bin/IBVS?5018" TargetMode="External"/><Relationship Id="rId9" Type="http://schemas.openxmlformats.org/officeDocument/2006/relationships/hyperlink" Target="http://www.konkoly.hu/cgi-bin/IBVS?5018" TargetMode="External"/><Relationship Id="rId14" Type="http://schemas.openxmlformats.org/officeDocument/2006/relationships/hyperlink" Target="http://www.konkoly.hu/cgi-bin/IBVS?5018" TargetMode="External"/><Relationship Id="rId22" Type="http://schemas.openxmlformats.org/officeDocument/2006/relationships/hyperlink" Target="http://www.konkoly.hu/cgi-bin/IBVS?5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58"/>
  <sheetViews>
    <sheetView tabSelected="1" workbookViewId="0">
      <pane xSplit="13" ySplit="21" topLeftCell="N31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5" t="s">
        <v>36</v>
      </c>
      <c r="B1" s="13"/>
      <c r="C1" s="13"/>
      <c r="D1" s="13"/>
      <c r="E1" s="13"/>
      <c r="F1" s="13"/>
    </row>
    <row r="2" spans="1:6" x14ac:dyDescent="0.2">
      <c r="A2" s="14" t="s">
        <v>23</v>
      </c>
      <c r="B2" s="22" t="s">
        <v>48</v>
      </c>
      <c r="C2" s="13"/>
      <c r="D2" s="13"/>
      <c r="E2" s="13"/>
      <c r="F2" s="13"/>
    </row>
    <row r="3" spans="1:6" ht="13.5" thickBot="1" x14ac:dyDescent="0.25"/>
    <row r="4" spans="1:6" ht="14.25" thickTop="1" thickBot="1" x14ac:dyDescent="0.25">
      <c r="A4" s="4" t="s">
        <v>0</v>
      </c>
      <c r="C4" s="16" t="s">
        <v>26</v>
      </c>
      <c r="D4" s="17" t="s">
        <v>26</v>
      </c>
    </row>
    <row r="5" spans="1:6" ht="13.5" thickTop="1" x14ac:dyDescent="0.2">
      <c r="A5" s="23" t="s">
        <v>37</v>
      </c>
      <c r="B5" s="14"/>
      <c r="C5" s="24">
        <v>-9.5</v>
      </c>
      <c r="D5" s="14" t="s">
        <v>38</v>
      </c>
    </row>
    <row r="6" spans="1:6" x14ac:dyDescent="0.2">
      <c r="A6" s="4" t="s">
        <v>1</v>
      </c>
    </row>
    <row r="7" spans="1:6" x14ac:dyDescent="0.2">
      <c r="A7" t="s">
        <v>2</v>
      </c>
      <c r="C7" s="18">
        <v>52849.304900000003</v>
      </c>
    </row>
    <row r="8" spans="1:6" x14ac:dyDescent="0.2">
      <c r="A8" t="s">
        <v>3</v>
      </c>
      <c r="C8" s="19">
        <v>1.1050939</v>
      </c>
    </row>
    <row r="9" spans="1:6" x14ac:dyDescent="0.2">
      <c r="A9" s="42" t="s">
        <v>47</v>
      </c>
      <c r="B9" s="43">
        <v>23</v>
      </c>
      <c r="C9" s="35" t="str">
        <f>"F"&amp;B9</f>
        <v>F23</v>
      </c>
      <c r="D9" s="41" t="str">
        <f>"G"&amp;B9</f>
        <v>G23</v>
      </c>
    </row>
    <row r="10" spans="1:6" ht="13.5" thickBot="1" x14ac:dyDescent="0.25">
      <c r="A10" s="14"/>
      <c r="B10" s="14"/>
      <c r="C10" s="3" t="s">
        <v>19</v>
      </c>
      <c r="D10" s="3" t="s">
        <v>20</v>
      </c>
      <c r="E10" s="14"/>
    </row>
    <row r="11" spans="1:6" x14ac:dyDescent="0.2">
      <c r="A11" s="14" t="s">
        <v>15</v>
      </c>
      <c r="B11" s="14"/>
      <c r="C11" s="40">
        <f ca="1">INTERCEPT(INDIRECT($D$9):G992,INDIRECT($C$9):F992)</f>
        <v>6.492954547707196E-3</v>
      </c>
      <c r="D11" s="2"/>
      <c r="E11" s="14"/>
    </row>
    <row r="12" spans="1:6" x14ac:dyDescent="0.2">
      <c r="A12" s="14" t="s">
        <v>16</v>
      </c>
      <c r="B12" s="14"/>
      <c r="C12" s="40">
        <f ca="1">SLOPE(INDIRECT($D$9):G992,INDIRECT($C$9):F992)</f>
        <v>-1.159579883480528E-6</v>
      </c>
      <c r="D12" s="2"/>
      <c r="E12" s="14"/>
    </row>
    <row r="13" spans="1:6" x14ac:dyDescent="0.2">
      <c r="A13" s="14" t="s">
        <v>18</v>
      </c>
      <c r="B13" s="14"/>
      <c r="C13" s="2" t="s">
        <v>13</v>
      </c>
    </row>
    <row r="14" spans="1:6" x14ac:dyDescent="0.2">
      <c r="A14" s="14"/>
      <c r="B14" s="14"/>
      <c r="C14" s="14"/>
    </row>
    <row r="15" spans="1:6" x14ac:dyDescent="0.2">
      <c r="A15" s="25" t="s">
        <v>17</v>
      </c>
      <c r="B15" s="14"/>
      <c r="C15" s="26">
        <f ca="1">(C7+C11)+(C8+C12)*INT(MAX(F21:F3533))</f>
        <v>54001.923121212734</v>
      </c>
      <c r="E15" s="27" t="s">
        <v>45</v>
      </c>
      <c r="F15" s="24">
        <v>1</v>
      </c>
    </row>
    <row r="16" spans="1:6" x14ac:dyDescent="0.2">
      <c r="A16" s="29" t="s">
        <v>4</v>
      </c>
      <c r="B16" s="14"/>
      <c r="C16" s="30">
        <f ca="1">+C8+C12</f>
        <v>1.1050927404201165</v>
      </c>
      <c r="E16" s="27" t="s">
        <v>39</v>
      </c>
      <c r="F16" s="28">
        <f ca="1">NOW()+15018.5+$C$5/24</f>
        <v>60346.683645138888</v>
      </c>
    </row>
    <row r="17" spans="1:21" ht="13.5" thickBot="1" x14ac:dyDescent="0.25">
      <c r="A17" s="27" t="s">
        <v>35</v>
      </c>
      <c r="B17" s="14"/>
      <c r="C17" s="14">
        <f>COUNT(C21:C2191)</f>
        <v>28</v>
      </c>
      <c r="E17" s="27" t="s">
        <v>46</v>
      </c>
      <c r="F17" s="28">
        <f ca="1">ROUND(2*(F16-$C$7)/$C$8,0)/2+F15</f>
        <v>6785.5</v>
      </c>
    </row>
    <row r="18" spans="1:21" ht="14.25" thickTop="1" thickBot="1" x14ac:dyDescent="0.25">
      <c r="A18" s="29" t="s">
        <v>5</v>
      </c>
      <c r="B18" s="14"/>
      <c r="C18" s="32">
        <f ca="1">+C15</f>
        <v>54001.923121212734</v>
      </c>
      <c r="D18" s="33">
        <f ca="1">+C16</f>
        <v>1.1050927404201165</v>
      </c>
      <c r="E18" s="27" t="s">
        <v>40</v>
      </c>
      <c r="F18" s="41">
        <f ca="1">ROUND(2*(F16-$C$15)/$C$16,0)/2+F15</f>
        <v>5742.5</v>
      </c>
    </row>
    <row r="19" spans="1:21" ht="13.5" thickTop="1" x14ac:dyDescent="0.2">
      <c r="E19" s="27" t="s">
        <v>41</v>
      </c>
      <c r="F19" s="31">
        <f ca="1">+$C$15+$C$16*F18-15018.5-$C$5/24</f>
        <v>45329.814016408585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56</v>
      </c>
      <c r="I20" s="6" t="s">
        <v>59</v>
      </c>
      <c r="J20" s="6" t="s">
        <v>53</v>
      </c>
      <c r="K20" s="6" t="s">
        <v>51</v>
      </c>
      <c r="L20" s="6" t="s">
        <v>24</v>
      </c>
      <c r="M20" s="6" t="s">
        <v>44</v>
      </c>
      <c r="N20" s="6" t="s">
        <v>25</v>
      </c>
      <c r="O20" s="6" t="s">
        <v>22</v>
      </c>
      <c r="P20" s="5" t="s">
        <v>21</v>
      </c>
      <c r="Q20" s="3" t="s">
        <v>14</v>
      </c>
      <c r="U20" s="59" t="s">
        <v>28</v>
      </c>
    </row>
    <row r="21" spans="1:21" x14ac:dyDescent="0.2">
      <c r="A21" t="s">
        <v>27</v>
      </c>
      <c r="C21" s="60">
        <v>25327.870999999999</v>
      </c>
      <c r="D21" s="35" t="s">
        <v>28</v>
      </c>
      <c r="E21">
        <f t="shared" ref="E21:E48" si="0">+(C21-C$7)/C$8</f>
        <v>-24904.158732574673</v>
      </c>
      <c r="F21">
        <f t="shared" ref="F21:F48" si="1">ROUND(2*E21,0)/2</f>
        <v>-24904</v>
      </c>
      <c r="G21">
        <f t="shared" ref="G21:G30" si="2">C21-($C$7+$C$8*$F21)</f>
        <v>-0.17541440000422881</v>
      </c>
      <c r="K21">
        <f t="shared" ref="K21:K29" si="3">+G21</f>
        <v>-0.17541440000422881</v>
      </c>
      <c r="O21">
        <f t="shared" ref="O21:O48" ca="1" si="4">+C$11+C$12*$F21</f>
        <v>3.5371131965906265E-2</v>
      </c>
      <c r="Q21" s="1">
        <f t="shared" ref="Q21:Q48" si="5">+C21-15018.5</f>
        <v>10309.370999999999</v>
      </c>
    </row>
    <row r="22" spans="1:21" x14ac:dyDescent="0.2">
      <c r="A22" t="s">
        <v>27</v>
      </c>
      <c r="C22" s="60">
        <v>26914.720000000001</v>
      </c>
      <c r="D22" s="35" t="s">
        <v>28</v>
      </c>
      <c r="E22">
        <f t="shared" si="0"/>
        <v>-23468.218311584202</v>
      </c>
      <c r="F22">
        <f t="shared" si="1"/>
        <v>-23468</v>
      </c>
      <c r="G22">
        <f t="shared" si="2"/>
        <v>-0.24125480000293464</v>
      </c>
      <c r="K22">
        <f t="shared" si="3"/>
        <v>-0.24125480000293464</v>
      </c>
      <c r="O22">
        <f t="shared" ca="1" si="4"/>
        <v>3.3705975253228229E-2</v>
      </c>
      <c r="Q22" s="1">
        <f t="shared" si="5"/>
        <v>11896.220000000001</v>
      </c>
    </row>
    <row r="23" spans="1:21" x14ac:dyDescent="0.2">
      <c r="A23" t="s">
        <v>27</v>
      </c>
      <c r="C23" s="60">
        <v>42220.527000000002</v>
      </c>
      <c r="D23" s="34"/>
      <c r="E23">
        <f t="shared" si="0"/>
        <v>-9617.9862181847184</v>
      </c>
      <c r="F23">
        <f t="shared" si="1"/>
        <v>-9618</v>
      </c>
      <c r="G23">
        <f t="shared" si="2"/>
        <v>1.5230199998768512E-2</v>
      </c>
      <c r="K23">
        <f t="shared" si="3"/>
        <v>1.5230199998768512E-2</v>
      </c>
      <c r="O23">
        <f t="shared" ca="1" si="4"/>
        <v>1.7645793867022912E-2</v>
      </c>
      <c r="Q23" s="1">
        <f t="shared" si="5"/>
        <v>27202.027000000002</v>
      </c>
    </row>
    <row r="24" spans="1:21" x14ac:dyDescent="0.2">
      <c r="A24" t="s">
        <v>27</v>
      </c>
      <c r="C24" s="60">
        <v>43347.671000000002</v>
      </c>
      <c r="D24" s="34"/>
      <c r="E24">
        <f t="shared" si="0"/>
        <v>-8598.0330721217451</v>
      </c>
      <c r="F24">
        <f t="shared" si="1"/>
        <v>-8598</v>
      </c>
      <c r="G24">
        <f t="shared" si="2"/>
        <v>-3.6547800002153963E-2</v>
      </c>
      <c r="K24">
        <f t="shared" si="3"/>
        <v>-3.6547800002153963E-2</v>
      </c>
      <c r="O24">
        <f t="shared" ca="1" si="4"/>
        <v>1.6463022385872775E-2</v>
      </c>
      <c r="Q24" s="1">
        <f t="shared" si="5"/>
        <v>28329.171000000002</v>
      </c>
    </row>
    <row r="25" spans="1:21" x14ac:dyDescent="0.2">
      <c r="A25" t="s">
        <v>27</v>
      </c>
      <c r="C25" s="60">
        <v>45606.553999999996</v>
      </c>
      <c r="D25" s="34"/>
      <c r="E25">
        <f t="shared" si="0"/>
        <v>-6553.968762292513</v>
      </c>
      <c r="F25">
        <f t="shared" si="1"/>
        <v>-6554</v>
      </c>
      <c r="G25">
        <f t="shared" si="2"/>
        <v>3.4520599991083145E-2</v>
      </c>
      <c r="K25">
        <f t="shared" si="3"/>
        <v>3.4520599991083145E-2</v>
      </c>
      <c r="O25">
        <f t="shared" ca="1" si="4"/>
        <v>1.4092841104038576E-2</v>
      </c>
      <c r="Q25" s="1">
        <f t="shared" si="5"/>
        <v>30588.053999999996</v>
      </c>
    </row>
    <row r="26" spans="1:21" x14ac:dyDescent="0.2">
      <c r="A26" t="s">
        <v>27</v>
      </c>
      <c r="C26" s="60">
        <v>45819.803</v>
      </c>
      <c r="D26" s="34"/>
      <c r="E26">
        <f t="shared" si="0"/>
        <v>-6360.9996399401025</v>
      </c>
      <c r="F26">
        <f t="shared" si="1"/>
        <v>-6361</v>
      </c>
      <c r="G26">
        <f t="shared" si="2"/>
        <v>3.9789999573258683E-4</v>
      </c>
      <c r="K26">
        <f t="shared" si="3"/>
        <v>3.9789999573258683E-4</v>
      </c>
      <c r="O26">
        <f t="shared" ca="1" si="4"/>
        <v>1.3869042186526834E-2</v>
      </c>
      <c r="Q26" s="1">
        <f t="shared" si="5"/>
        <v>30801.303</v>
      </c>
    </row>
    <row r="27" spans="1:21" x14ac:dyDescent="0.2">
      <c r="A27" t="s">
        <v>27</v>
      </c>
      <c r="C27" s="60">
        <v>46881.864999999998</v>
      </c>
      <c r="D27" s="34"/>
      <c r="E27">
        <f t="shared" si="0"/>
        <v>-5399.9392268838019</v>
      </c>
      <c r="F27">
        <f t="shared" si="1"/>
        <v>-5400</v>
      </c>
      <c r="G27">
        <f t="shared" si="2"/>
        <v>6.715999999869382E-2</v>
      </c>
      <c r="K27">
        <f t="shared" si="3"/>
        <v>6.715999999869382E-2</v>
      </c>
      <c r="O27">
        <f t="shared" ca="1" si="4"/>
        <v>1.2754685918502047E-2</v>
      </c>
      <c r="Q27" s="1">
        <f t="shared" si="5"/>
        <v>31863.364999999998</v>
      </c>
    </row>
    <row r="28" spans="1:21" x14ac:dyDescent="0.2">
      <c r="A28" t="s">
        <v>27</v>
      </c>
      <c r="C28" s="60">
        <v>47270.81</v>
      </c>
      <c r="D28" s="34"/>
      <c r="E28">
        <f t="shared" si="0"/>
        <v>-5047.9827098855631</v>
      </c>
      <c r="F28">
        <f t="shared" si="1"/>
        <v>-5048</v>
      </c>
      <c r="G28">
        <f t="shared" si="2"/>
        <v>1.910719999432331E-2</v>
      </c>
      <c r="K28">
        <f t="shared" si="3"/>
        <v>1.910719999432331E-2</v>
      </c>
      <c r="O28">
        <f t="shared" ca="1" si="4"/>
        <v>1.2346513799516901E-2</v>
      </c>
      <c r="Q28" s="1">
        <f t="shared" si="5"/>
        <v>32252.309999999998</v>
      </c>
    </row>
    <row r="29" spans="1:21" x14ac:dyDescent="0.2">
      <c r="A29" t="s">
        <v>27</v>
      </c>
      <c r="C29" s="60">
        <v>49989.322999999997</v>
      </c>
      <c r="D29" s="34"/>
      <c r="E29">
        <f t="shared" si="0"/>
        <v>-2587.9989926647918</v>
      </c>
      <c r="F29">
        <f t="shared" si="1"/>
        <v>-2588</v>
      </c>
      <c r="G29">
        <f t="shared" si="2"/>
        <v>1.1131999926874414E-3</v>
      </c>
      <c r="K29">
        <f t="shared" si="3"/>
        <v>1.1131999926874414E-3</v>
      </c>
      <c r="O29">
        <f t="shared" ca="1" si="4"/>
        <v>9.4939472861548021E-3</v>
      </c>
      <c r="Q29" s="1">
        <f t="shared" si="5"/>
        <v>34970.822999999997</v>
      </c>
    </row>
    <row r="30" spans="1:21" x14ac:dyDescent="0.2">
      <c r="A30" t="s">
        <v>27</v>
      </c>
      <c r="C30" s="60">
        <v>50274.464999999997</v>
      </c>
      <c r="D30" s="34"/>
      <c r="E30">
        <f t="shared" si="0"/>
        <v>-2329.9738601398544</v>
      </c>
      <c r="F30">
        <f t="shared" si="1"/>
        <v>-2330</v>
      </c>
      <c r="G30">
        <f t="shared" si="2"/>
        <v>2.8886999993119389E-2</v>
      </c>
      <c r="O30">
        <f t="shared" ca="1" si="4"/>
        <v>9.1947756762168261E-3</v>
      </c>
      <c r="Q30" s="1">
        <f t="shared" si="5"/>
        <v>35255.964999999997</v>
      </c>
    </row>
    <row r="31" spans="1:21" x14ac:dyDescent="0.2">
      <c r="A31" t="s">
        <v>27</v>
      </c>
      <c r="C31" s="60">
        <v>51255.616000000002</v>
      </c>
      <c r="D31" s="35" t="s">
        <v>28</v>
      </c>
      <c r="E31">
        <f t="shared" si="0"/>
        <v>-1442.129849780187</v>
      </c>
      <c r="F31">
        <f t="shared" si="1"/>
        <v>-1442</v>
      </c>
      <c r="K31">
        <f>+U31</f>
        <v>-0.14349619999848073</v>
      </c>
      <c r="O31">
        <f t="shared" ca="1" si="4"/>
        <v>8.1650687396861172E-3</v>
      </c>
      <c r="Q31" s="1">
        <f t="shared" si="5"/>
        <v>36237.116000000002</v>
      </c>
      <c r="U31">
        <f>C31-($C$7+$C$8*$F31)</f>
        <v>-0.14349619999848073</v>
      </c>
    </row>
    <row r="32" spans="1:21" x14ac:dyDescent="0.2">
      <c r="A32" t="s">
        <v>27</v>
      </c>
      <c r="C32" s="60">
        <v>51513.298000000003</v>
      </c>
      <c r="D32" s="34"/>
      <c r="E32">
        <f t="shared" si="0"/>
        <v>-1208.9532844222563</v>
      </c>
      <c r="F32">
        <f t="shared" si="1"/>
        <v>-1209</v>
      </c>
      <c r="G32">
        <f t="shared" ref="G32:G48" si="6">C32-($C$7+$C$8*$F32)</f>
        <v>5.1625100000819657E-2</v>
      </c>
      <c r="K32">
        <f t="shared" ref="K32:K39" si="7">+G32</f>
        <v>5.1625100000819657E-2</v>
      </c>
      <c r="O32">
        <f t="shared" ca="1" si="4"/>
        <v>7.8948866268351535E-3</v>
      </c>
      <c r="Q32" s="1">
        <f t="shared" si="5"/>
        <v>36494.798000000003</v>
      </c>
    </row>
    <row r="33" spans="1:17" x14ac:dyDescent="0.2">
      <c r="A33" t="s">
        <v>27</v>
      </c>
      <c r="C33" s="60">
        <v>51842.569499999998</v>
      </c>
      <c r="D33" s="34">
        <v>8.9999999999999998E-4</v>
      </c>
      <c r="E33">
        <f t="shared" si="0"/>
        <v>-910.99534618732855</v>
      </c>
      <c r="F33">
        <f t="shared" si="1"/>
        <v>-911</v>
      </c>
      <c r="G33">
        <f t="shared" si="6"/>
        <v>5.1428999940981157E-3</v>
      </c>
      <c r="K33">
        <f t="shared" si="7"/>
        <v>5.1428999940981157E-3</v>
      </c>
      <c r="O33">
        <f t="shared" ca="1" si="4"/>
        <v>7.5493318215579565E-3</v>
      </c>
      <c r="Q33" s="1">
        <f t="shared" si="5"/>
        <v>36824.069499999998</v>
      </c>
    </row>
    <row r="34" spans="1:17" x14ac:dyDescent="0.2">
      <c r="A34" t="s">
        <v>27</v>
      </c>
      <c r="C34" s="60">
        <v>51843.671600000001</v>
      </c>
      <c r="D34" s="34">
        <v>8.9999999999999998E-4</v>
      </c>
      <c r="E34">
        <f t="shared" si="0"/>
        <v>-909.99805536887084</v>
      </c>
      <c r="F34">
        <f t="shared" si="1"/>
        <v>-910</v>
      </c>
      <c r="G34">
        <f t="shared" si="6"/>
        <v>2.148999999917578E-3</v>
      </c>
      <c r="K34">
        <f t="shared" si="7"/>
        <v>2.148999999917578E-3</v>
      </c>
      <c r="O34">
        <f t="shared" ca="1" si="4"/>
        <v>7.5481722416744761E-3</v>
      </c>
      <c r="Q34" s="1">
        <f t="shared" si="5"/>
        <v>36825.171600000001</v>
      </c>
    </row>
    <row r="35" spans="1:17" x14ac:dyDescent="0.2">
      <c r="A35" t="s">
        <v>27</v>
      </c>
      <c r="C35" s="60">
        <v>51853.620600000002</v>
      </c>
      <c r="D35" s="34">
        <v>2.0000000000000001E-4</v>
      </c>
      <c r="E35">
        <f t="shared" si="0"/>
        <v>-900.99520049834757</v>
      </c>
      <c r="F35">
        <f t="shared" si="1"/>
        <v>-901</v>
      </c>
      <c r="G35">
        <f t="shared" si="6"/>
        <v>5.3038999976706691E-3</v>
      </c>
      <c r="K35">
        <f t="shared" si="7"/>
        <v>5.3038999976706691E-3</v>
      </c>
      <c r="O35">
        <f t="shared" ca="1" si="4"/>
        <v>7.5377360227231512E-3</v>
      </c>
      <c r="Q35" s="1">
        <f t="shared" si="5"/>
        <v>36835.120600000002</v>
      </c>
    </row>
    <row r="36" spans="1:17" x14ac:dyDescent="0.2">
      <c r="A36" t="s">
        <v>27</v>
      </c>
      <c r="C36" s="60">
        <v>51853.620600000002</v>
      </c>
      <c r="D36" s="34">
        <v>1E-4</v>
      </c>
      <c r="E36">
        <f t="shared" si="0"/>
        <v>-900.99520049834757</v>
      </c>
      <c r="F36">
        <f t="shared" si="1"/>
        <v>-901</v>
      </c>
      <c r="G36">
        <f t="shared" si="6"/>
        <v>5.3038999976706691E-3</v>
      </c>
      <c r="K36">
        <f t="shared" si="7"/>
        <v>5.3038999976706691E-3</v>
      </c>
      <c r="O36">
        <f t="shared" ca="1" si="4"/>
        <v>7.5377360227231512E-3</v>
      </c>
      <c r="Q36" s="1">
        <f t="shared" si="5"/>
        <v>36835.120600000002</v>
      </c>
    </row>
    <row r="37" spans="1:17" x14ac:dyDescent="0.2">
      <c r="A37" t="s">
        <v>27</v>
      </c>
      <c r="C37" s="60">
        <v>51854.725700000003</v>
      </c>
      <c r="D37" s="34">
        <v>2.0000000000000001E-4</v>
      </c>
      <c r="E37">
        <f t="shared" si="0"/>
        <v>-899.99519497845404</v>
      </c>
      <c r="F37">
        <f t="shared" si="1"/>
        <v>-900</v>
      </c>
      <c r="G37">
        <f t="shared" si="6"/>
        <v>5.310000000463333E-3</v>
      </c>
      <c r="K37">
        <f t="shared" si="7"/>
        <v>5.310000000463333E-3</v>
      </c>
      <c r="O37">
        <f t="shared" ca="1" si="4"/>
        <v>7.5365764428396709E-3</v>
      </c>
      <c r="Q37" s="1">
        <f t="shared" si="5"/>
        <v>36836.225700000003</v>
      </c>
    </row>
    <row r="38" spans="1:17" x14ac:dyDescent="0.2">
      <c r="A38" t="s">
        <v>27</v>
      </c>
      <c r="C38" s="60">
        <v>51874.617400000003</v>
      </c>
      <c r="D38" s="34">
        <v>1E-4</v>
      </c>
      <c r="E38">
        <f t="shared" si="0"/>
        <v>-881.99518611042924</v>
      </c>
      <c r="F38">
        <f t="shared" si="1"/>
        <v>-882</v>
      </c>
      <c r="G38">
        <f t="shared" si="6"/>
        <v>5.3198000023257919E-3</v>
      </c>
      <c r="K38">
        <f t="shared" si="7"/>
        <v>5.3198000023257919E-3</v>
      </c>
      <c r="O38">
        <f t="shared" ca="1" si="4"/>
        <v>7.5157040049370219E-3</v>
      </c>
      <c r="Q38" s="1">
        <f t="shared" si="5"/>
        <v>36856.117400000003</v>
      </c>
    </row>
    <row r="39" spans="1:17" x14ac:dyDescent="0.2">
      <c r="A39" t="s">
        <v>27</v>
      </c>
      <c r="C39" s="60">
        <v>51905.5599</v>
      </c>
      <c r="D39" s="34">
        <v>1E-4</v>
      </c>
      <c r="E39">
        <f t="shared" si="0"/>
        <v>-853.99530302357357</v>
      </c>
      <c r="F39">
        <f t="shared" si="1"/>
        <v>-854</v>
      </c>
      <c r="G39">
        <f t="shared" si="6"/>
        <v>5.1906000007875264E-3</v>
      </c>
      <c r="K39">
        <f t="shared" si="7"/>
        <v>5.1906000007875264E-3</v>
      </c>
      <c r="O39">
        <f t="shared" ca="1" si="4"/>
        <v>7.4832357681995669E-3</v>
      </c>
      <c r="Q39" s="1">
        <f t="shared" si="5"/>
        <v>36887.0599</v>
      </c>
    </row>
    <row r="40" spans="1:17" x14ac:dyDescent="0.2">
      <c r="A40" t="s">
        <v>29</v>
      </c>
      <c r="C40" s="37">
        <v>52041.493999999999</v>
      </c>
      <c r="D40" s="7"/>
      <c r="E40">
        <f t="shared" si="0"/>
        <v>-730.98847075348442</v>
      </c>
      <c r="F40">
        <f t="shared" si="1"/>
        <v>-731</v>
      </c>
      <c r="G40">
        <f t="shared" si="6"/>
        <v>1.2740899997879751E-2</v>
      </c>
      <c r="I40">
        <f>+G40</f>
        <v>1.2740899997879751E-2</v>
      </c>
      <c r="O40">
        <f t="shared" ca="1" si="4"/>
        <v>7.3406074425314619E-3</v>
      </c>
      <c r="Q40" s="1">
        <f t="shared" si="5"/>
        <v>37022.993999999999</v>
      </c>
    </row>
    <row r="41" spans="1:17" x14ac:dyDescent="0.2">
      <c r="A41" t="s">
        <v>30</v>
      </c>
      <c r="C41" s="37">
        <v>52137.629000000001</v>
      </c>
      <c r="D41" s="7"/>
      <c r="E41">
        <f t="shared" si="0"/>
        <v>-643.99586315696979</v>
      </c>
      <c r="F41">
        <f t="shared" si="1"/>
        <v>-644</v>
      </c>
      <c r="G41">
        <f t="shared" si="6"/>
        <v>4.5715999949607067E-3</v>
      </c>
      <c r="I41">
        <f>+G41</f>
        <v>4.5715999949607067E-3</v>
      </c>
      <c r="O41">
        <f t="shared" ca="1" si="4"/>
        <v>7.2397239926686556E-3</v>
      </c>
      <c r="Q41" s="1">
        <f t="shared" si="5"/>
        <v>37119.129000000001</v>
      </c>
    </row>
    <row r="42" spans="1:17" x14ac:dyDescent="0.2">
      <c r="A42" t="s">
        <v>31</v>
      </c>
      <c r="C42" s="37">
        <v>52197.315000000002</v>
      </c>
      <c r="D42" s="7"/>
      <c r="E42">
        <f t="shared" si="0"/>
        <v>-589.98597313766777</v>
      </c>
      <c r="F42">
        <f t="shared" si="1"/>
        <v>-590</v>
      </c>
      <c r="G42">
        <f t="shared" si="6"/>
        <v>1.5501000001677312E-2</v>
      </c>
      <c r="I42">
        <f>+G42</f>
        <v>1.5501000001677312E-2</v>
      </c>
      <c r="O42">
        <f t="shared" ca="1" si="4"/>
        <v>7.1771066789607079E-3</v>
      </c>
      <c r="Q42" s="1">
        <f t="shared" si="5"/>
        <v>37178.815000000002</v>
      </c>
    </row>
    <row r="43" spans="1:17" x14ac:dyDescent="0.2">
      <c r="A43" s="20" t="s">
        <v>32</v>
      </c>
      <c r="B43" s="2" t="s">
        <v>33</v>
      </c>
      <c r="C43" s="37">
        <v>52840.457999999999</v>
      </c>
      <c r="D43" s="37">
        <v>5.0000000000000001E-3</v>
      </c>
      <c r="E43">
        <f t="shared" si="0"/>
        <v>-8.0055640520720441</v>
      </c>
      <c r="F43">
        <f t="shared" si="1"/>
        <v>-8</v>
      </c>
      <c r="G43">
        <f t="shared" si="6"/>
        <v>-6.1488000064855441E-3</v>
      </c>
      <c r="K43">
        <f>+G43</f>
        <v>-6.1488000064855441E-3</v>
      </c>
      <c r="O43">
        <f t="shared" ca="1" si="4"/>
        <v>6.5022311867750406E-3</v>
      </c>
      <c r="Q43" s="1">
        <f t="shared" si="5"/>
        <v>37821.957999999999</v>
      </c>
    </row>
    <row r="44" spans="1:17" x14ac:dyDescent="0.2">
      <c r="A44" s="21" t="s">
        <v>34</v>
      </c>
      <c r="C44" s="37">
        <v>52849.304900000003</v>
      </c>
      <c r="D44" s="34">
        <v>1E-4</v>
      </c>
      <c r="E44">
        <f t="shared" si="0"/>
        <v>0</v>
      </c>
      <c r="F44">
        <f t="shared" si="1"/>
        <v>0</v>
      </c>
      <c r="G44">
        <f t="shared" si="6"/>
        <v>0</v>
      </c>
      <c r="K44">
        <f>+G44</f>
        <v>0</v>
      </c>
      <c r="O44">
        <f t="shared" ca="1" si="4"/>
        <v>6.492954547707196E-3</v>
      </c>
      <c r="Q44" s="1">
        <f t="shared" si="5"/>
        <v>37830.804900000003</v>
      </c>
    </row>
    <row r="45" spans="1:17" x14ac:dyDescent="0.2">
      <c r="A45" s="21" t="s">
        <v>34</v>
      </c>
      <c r="C45" s="37">
        <v>53124.472399999999</v>
      </c>
      <c r="D45" s="7">
        <v>8.9999999999999998E-4</v>
      </c>
      <c r="E45">
        <f t="shared" si="0"/>
        <v>248.99920269218384</v>
      </c>
      <c r="F45">
        <f t="shared" si="1"/>
        <v>249</v>
      </c>
      <c r="G45">
        <f t="shared" si="6"/>
        <v>-8.8110000069718808E-4</v>
      </c>
      <c r="K45">
        <f>+G45</f>
        <v>-8.8110000069718808E-4</v>
      </c>
      <c r="O45">
        <f t="shared" ca="1" si="4"/>
        <v>6.2042191567205449E-3</v>
      </c>
      <c r="Q45" s="1">
        <f t="shared" si="5"/>
        <v>38105.972399999999</v>
      </c>
    </row>
    <row r="46" spans="1:17" x14ac:dyDescent="0.2">
      <c r="A46" s="11" t="s">
        <v>43</v>
      </c>
      <c r="B46" s="9" t="s">
        <v>33</v>
      </c>
      <c r="C46" s="39">
        <v>53958.812299999874</v>
      </c>
      <c r="D46" s="38">
        <v>2.0000000000000001E-4</v>
      </c>
      <c r="E46">
        <f t="shared" si="0"/>
        <v>1003.9937782661467</v>
      </c>
      <c r="F46">
        <f t="shared" si="1"/>
        <v>1004</v>
      </c>
      <c r="G46">
        <f t="shared" si="6"/>
        <v>-6.8756001273868605E-3</v>
      </c>
      <c r="K46">
        <f>+G46</f>
        <v>-6.8756001273868605E-3</v>
      </c>
      <c r="O46">
        <f t="shared" ca="1" si="4"/>
        <v>5.3287363446927454E-3</v>
      </c>
      <c r="Q46" s="1">
        <f t="shared" si="5"/>
        <v>38940.312299999874</v>
      </c>
    </row>
    <row r="47" spans="1:17" x14ac:dyDescent="0.2">
      <c r="A47" s="57" t="s">
        <v>153</v>
      </c>
      <c r="B47" s="58" t="s">
        <v>33</v>
      </c>
      <c r="C47" s="61">
        <v>53958.812299999998</v>
      </c>
      <c r="D47" s="57" t="s">
        <v>59</v>
      </c>
      <c r="E47">
        <f t="shared" si="0"/>
        <v>1003.9937782662587</v>
      </c>
      <c r="F47">
        <f t="shared" si="1"/>
        <v>1004</v>
      </c>
      <c r="G47">
        <f t="shared" si="6"/>
        <v>-6.8756000036955811E-3</v>
      </c>
      <c r="I47">
        <f>+G47</f>
        <v>-6.8756000036955811E-3</v>
      </c>
      <c r="O47">
        <f t="shared" ca="1" si="4"/>
        <v>5.3287363446927454E-3</v>
      </c>
      <c r="Q47" s="1">
        <f t="shared" si="5"/>
        <v>38940.312299999998</v>
      </c>
    </row>
    <row r="48" spans="1:17" x14ac:dyDescent="0.2">
      <c r="A48" s="12" t="s">
        <v>42</v>
      </c>
      <c r="B48" s="9" t="s">
        <v>33</v>
      </c>
      <c r="C48" s="37">
        <v>54002.466500000002</v>
      </c>
      <c r="D48" s="36">
        <v>2.3999999999999998E-3</v>
      </c>
      <c r="E48">
        <f t="shared" si="0"/>
        <v>1043.4964847783519</v>
      </c>
      <c r="F48">
        <f t="shared" si="1"/>
        <v>1043.5</v>
      </c>
      <c r="G48">
        <f t="shared" si="6"/>
        <v>-3.8846500028739683E-3</v>
      </c>
      <c r="J48">
        <f>+G48</f>
        <v>-3.8846500028739683E-3</v>
      </c>
      <c r="O48">
        <f t="shared" ca="1" si="4"/>
        <v>5.2829329392952654E-3</v>
      </c>
      <c r="Q48" s="1">
        <f t="shared" si="5"/>
        <v>38983.966500000002</v>
      </c>
    </row>
    <row r="49" spans="1:17" x14ac:dyDescent="0.2">
      <c r="B49" s="2"/>
      <c r="C49" s="37"/>
      <c r="D49" s="7"/>
      <c r="Q49" s="1"/>
    </row>
    <row r="50" spans="1:17" x14ac:dyDescent="0.2">
      <c r="B50" s="2"/>
      <c r="C50" s="37"/>
      <c r="D50" s="7"/>
      <c r="Q50" s="1"/>
    </row>
    <row r="51" spans="1:17" x14ac:dyDescent="0.2">
      <c r="B51" s="2"/>
      <c r="C51" s="36"/>
      <c r="D51" s="36"/>
      <c r="Q51" s="1"/>
    </row>
    <row r="52" spans="1:17" x14ac:dyDescent="0.2">
      <c r="B52" s="2"/>
      <c r="C52" s="36"/>
      <c r="D52" s="36"/>
      <c r="Q52" s="1"/>
    </row>
    <row r="53" spans="1:17" x14ac:dyDescent="0.2">
      <c r="A53" s="8"/>
      <c r="B53" s="2"/>
      <c r="C53" s="37"/>
      <c r="D53" s="37"/>
      <c r="Q53" s="1"/>
    </row>
    <row r="54" spans="1:17" x14ac:dyDescent="0.2">
      <c r="A54" s="8"/>
      <c r="B54" s="9"/>
      <c r="C54" s="38"/>
      <c r="D54" s="39"/>
      <c r="Q54" s="1"/>
    </row>
    <row r="55" spans="1:17" x14ac:dyDescent="0.2">
      <c r="A55" s="8"/>
      <c r="B55" s="9"/>
      <c r="C55" s="38"/>
      <c r="D55" s="39"/>
      <c r="Q55" s="1"/>
    </row>
    <row r="56" spans="1:17" x14ac:dyDescent="0.2">
      <c r="A56" s="8"/>
      <c r="B56" s="9"/>
      <c r="C56" s="38"/>
      <c r="D56" s="39"/>
      <c r="Q56" s="1"/>
    </row>
    <row r="57" spans="1:17" x14ac:dyDescent="0.2">
      <c r="A57" s="8"/>
      <c r="B57" s="9"/>
      <c r="C57" s="38"/>
      <c r="D57" s="39"/>
      <c r="Q57" s="1"/>
    </row>
    <row r="58" spans="1:17" x14ac:dyDescent="0.2">
      <c r="A58" s="8"/>
      <c r="B58" s="9"/>
      <c r="C58" s="38"/>
      <c r="D58" s="39"/>
      <c r="Q58" s="1"/>
    </row>
    <row r="59" spans="1:17" x14ac:dyDescent="0.2">
      <c r="A59" s="10"/>
      <c r="B59" s="9"/>
      <c r="C59" s="38"/>
      <c r="D59" s="38"/>
      <c r="Q59" s="1"/>
    </row>
    <row r="60" spans="1:17" x14ac:dyDescent="0.2">
      <c r="A60" s="10"/>
      <c r="B60" s="9"/>
      <c r="C60" s="38"/>
      <c r="D60" s="38"/>
      <c r="Q60" s="1"/>
    </row>
    <row r="61" spans="1:17" x14ac:dyDescent="0.2">
      <c r="A61" s="11"/>
      <c r="B61" s="9"/>
      <c r="C61" s="38"/>
      <c r="D61" s="38"/>
      <c r="Q61" s="1"/>
    </row>
    <row r="62" spans="1:17" x14ac:dyDescent="0.2">
      <c r="A62" s="12"/>
      <c r="B62" s="2"/>
      <c r="C62" s="36"/>
      <c r="D62" s="37"/>
      <c r="Q62" s="1"/>
    </row>
    <row r="63" spans="1:17" x14ac:dyDescent="0.2">
      <c r="A63" s="12"/>
      <c r="B63" s="9"/>
      <c r="C63" s="38"/>
      <c r="D63" s="39"/>
      <c r="Q63" s="1"/>
    </row>
    <row r="64" spans="1:17" x14ac:dyDescent="0.2">
      <c r="C64" s="36"/>
      <c r="D64" s="36"/>
    </row>
    <row r="65" spans="3:4" x14ac:dyDescent="0.2">
      <c r="C65" s="36"/>
      <c r="D65" s="36"/>
    </row>
    <row r="66" spans="3:4" x14ac:dyDescent="0.2">
      <c r="C66" s="36"/>
      <c r="D66" s="36"/>
    </row>
    <row r="67" spans="3:4" x14ac:dyDescent="0.2">
      <c r="C67" s="36"/>
      <c r="D67" s="36"/>
    </row>
    <row r="68" spans="3:4" x14ac:dyDescent="0.2">
      <c r="C68" s="36"/>
      <c r="D68" s="36"/>
    </row>
    <row r="69" spans="3:4" x14ac:dyDescent="0.2">
      <c r="C69" s="36"/>
      <c r="D69" s="36"/>
    </row>
    <row r="70" spans="3:4" x14ac:dyDescent="0.2">
      <c r="C70" s="36"/>
      <c r="D70" s="36"/>
    </row>
    <row r="71" spans="3:4" x14ac:dyDescent="0.2">
      <c r="C71" s="36"/>
      <c r="D71" s="36"/>
    </row>
    <row r="72" spans="3:4" x14ac:dyDescent="0.2">
      <c r="C72" s="36"/>
      <c r="D72" s="36"/>
    </row>
    <row r="73" spans="3:4" x14ac:dyDescent="0.2">
      <c r="C73" s="36"/>
      <c r="D73" s="36"/>
    </row>
    <row r="74" spans="3:4" x14ac:dyDescent="0.2">
      <c r="C74" s="36"/>
      <c r="D74" s="36"/>
    </row>
    <row r="75" spans="3:4" x14ac:dyDescent="0.2">
      <c r="C75" s="36"/>
      <c r="D75" s="36"/>
    </row>
    <row r="76" spans="3:4" x14ac:dyDescent="0.2">
      <c r="C76" s="36"/>
      <c r="D76" s="36"/>
    </row>
    <row r="77" spans="3:4" x14ac:dyDescent="0.2">
      <c r="C77" s="36"/>
      <c r="D77" s="36"/>
    </row>
    <row r="78" spans="3:4" x14ac:dyDescent="0.2">
      <c r="C78" s="36"/>
      <c r="D78" s="36"/>
    </row>
    <row r="79" spans="3:4" x14ac:dyDescent="0.2">
      <c r="C79" s="36"/>
      <c r="D79" s="36"/>
    </row>
    <row r="80" spans="3:4" x14ac:dyDescent="0.2">
      <c r="C80" s="36"/>
      <c r="D80" s="36"/>
    </row>
    <row r="81" spans="3:4" x14ac:dyDescent="0.2">
      <c r="C81" s="36"/>
      <c r="D81" s="36"/>
    </row>
    <row r="82" spans="3:4" x14ac:dyDescent="0.2">
      <c r="C82" s="36"/>
      <c r="D82" s="36"/>
    </row>
    <row r="83" spans="3:4" x14ac:dyDescent="0.2">
      <c r="C83" s="36"/>
      <c r="D83" s="36"/>
    </row>
    <row r="84" spans="3:4" x14ac:dyDescent="0.2">
      <c r="C84" s="36"/>
      <c r="D84" s="36"/>
    </row>
    <row r="85" spans="3:4" x14ac:dyDescent="0.2">
      <c r="C85" s="36"/>
      <c r="D85" s="36"/>
    </row>
    <row r="86" spans="3:4" x14ac:dyDescent="0.2">
      <c r="C86" s="36"/>
      <c r="D86" s="36"/>
    </row>
    <row r="87" spans="3:4" x14ac:dyDescent="0.2">
      <c r="C87" s="36"/>
      <c r="D87" s="36"/>
    </row>
    <row r="88" spans="3:4" x14ac:dyDescent="0.2">
      <c r="C88" s="36"/>
      <c r="D88" s="36"/>
    </row>
    <row r="89" spans="3:4" x14ac:dyDescent="0.2">
      <c r="C89" s="36"/>
      <c r="D89" s="36"/>
    </row>
    <row r="90" spans="3:4" x14ac:dyDescent="0.2">
      <c r="C90" s="36"/>
      <c r="D90" s="36"/>
    </row>
    <row r="91" spans="3:4" x14ac:dyDescent="0.2">
      <c r="C91" s="36"/>
      <c r="D91" s="36"/>
    </row>
    <row r="92" spans="3:4" x14ac:dyDescent="0.2">
      <c r="C92" s="36"/>
      <c r="D92" s="36"/>
    </row>
    <row r="93" spans="3:4" x14ac:dyDescent="0.2">
      <c r="C93" s="36"/>
      <c r="D93" s="36"/>
    </row>
    <row r="94" spans="3:4" x14ac:dyDescent="0.2">
      <c r="C94" s="36"/>
      <c r="D94" s="36"/>
    </row>
    <row r="95" spans="3:4" x14ac:dyDescent="0.2">
      <c r="C95" s="36"/>
      <c r="D95" s="36"/>
    </row>
    <row r="96" spans="3:4" x14ac:dyDescent="0.2">
      <c r="C96" s="36"/>
      <c r="D96" s="36"/>
    </row>
    <row r="97" spans="3:4" x14ac:dyDescent="0.2">
      <c r="C97" s="36"/>
      <c r="D97" s="36"/>
    </row>
    <row r="98" spans="3:4" x14ac:dyDescent="0.2">
      <c r="C98" s="36"/>
      <c r="D98" s="36"/>
    </row>
    <row r="99" spans="3:4" x14ac:dyDescent="0.2">
      <c r="C99" s="36"/>
      <c r="D99" s="36"/>
    </row>
    <row r="100" spans="3:4" x14ac:dyDescent="0.2">
      <c r="C100" s="36"/>
      <c r="D100" s="36"/>
    </row>
    <row r="101" spans="3:4" x14ac:dyDescent="0.2">
      <c r="C101" s="36"/>
      <c r="D101" s="36"/>
    </row>
    <row r="102" spans="3:4" x14ac:dyDescent="0.2">
      <c r="C102" s="36"/>
      <c r="D102" s="36"/>
    </row>
    <row r="103" spans="3:4" x14ac:dyDescent="0.2">
      <c r="C103" s="36"/>
      <c r="D103" s="36"/>
    </row>
    <row r="104" spans="3:4" x14ac:dyDescent="0.2">
      <c r="C104" s="36"/>
      <c r="D104" s="36"/>
    </row>
    <row r="105" spans="3:4" x14ac:dyDescent="0.2">
      <c r="C105" s="36"/>
      <c r="D105" s="36"/>
    </row>
    <row r="106" spans="3:4" x14ac:dyDescent="0.2">
      <c r="C106" s="36"/>
      <c r="D106" s="36"/>
    </row>
    <row r="107" spans="3:4" x14ac:dyDescent="0.2">
      <c r="C107" s="36"/>
      <c r="D107" s="36"/>
    </row>
    <row r="108" spans="3:4" x14ac:dyDescent="0.2">
      <c r="C108" s="36"/>
      <c r="D108" s="36"/>
    </row>
    <row r="109" spans="3:4" x14ac:dyDescent="0.2">
      <c r="C109" s="36"/>
      <c r="D109" s="36"/>
    </row>
    <row r="110" spans="3:4" x14ac:dyDescent="0.2">
      <c r="C110" s="36"/>
      <c r="D110" s="36"/>
    </row>
    <row r="111" spans="3:4" x14ac:dyDescent="0.2">
      <c r="C111" s="36"/>
      <c r="D111" s="36"/>
    </row>
    <row r="112" spans="3:4" x14ac:dyDescent="0.2">
      <c r="C112" s="36"/>
      <c r="D112" s="36"/>
    </row>
    <row r="113" spans="3:4" x14ac:dyDescent="0.2">
      <c r="C113" s="36"/>
      <c r="D113" s="36"/>
    </row>
    <row r="114" spans="3:4" x14ac:dyDescent="0.2">
      <c r="C114" s="36"/>
      <c r="D114" s="36"/>
    </row>
    <row r="115" spans="3:4" x14ac:dyDescent="0.2">
      <c r="C115" s="36"/>
      <c r="D115" s="36"/>
    </row>
    <row r="116" spans="3:4" x14ac:dyDescent="0.2">
      <c r="C116" s="36"/>
      <c r="D116" s="36"/>
    </row>
    <row r="117" spans="3:4" x14ac:dyDescent="0.2">
      <c r="C117" s="36"/>
      <c r="D117" s="36"/>
    </row>
    <row r="118" spans="3:4" x14ac:dyDescent="0.2">
      <c r="C118" s="36"/>
      <c r="D118" s="36"/>
    </row>
    <row r="119" spans="3:4" x14ac:dyDescent="0.2">
      <c r="C119" s="36"/>
      <c r="D119" s="36"/>
    </row>
    <row r="120" spans="3:4" x14ac:dyDescent="0.2">
      <c r="C120" s="36"/>
      <c r="D120" s="36"/>
    </row>
    <row r="121" spans="3:4" x14ac:dyDescent="0.2">
      <c r="C121" s="36"/>
      <c r="D121" s="36"/>
    </row>
    <row r="122" spans="3:4" x14ac:dyDescent="0.2">
      <c r="C122" s="36"/>
      <c r="D122" s="36"/>
    </row>
    <row r="123" spans="3:4" x14ac:dyDescent="0.2">
      <c r="C123" s="36"/>
      <c r="D123" s="36"/>
    </row>
    <row r="124" spans="3:4" x14ac:dyDescent="0.2">
      <c r="C124" s="36"/>
      <c r="D124" s="36"/>
    </row>
    <row r="125" spans="3:4" x14ac:dyDescent="0.2">
      <c r="C125" s="36"/>
      <c r="D125" s="36"/>
    </row>
    <row r="126" spans="3:4" x14ac:dyDescent="0.2">
      <c r="C126" s="36"/>
      <c r="D126" s="36"/>
    </row>
    <row r="127" spans="3:4" x14ac:dyDescent="0.2">
      <c r="C127" s="36"/>
      <c r="D127" s="36"/>
    </row>
    <row r="128" spans="3:4" x14ac:dyDescent="0.2">
      <c r="C128" s="36"/>
      <c r="D128" s="36"/>
    </row>
    <row r="129" spans="3:4" x14ac:dyDescent="0.2">
      <c r="C129" s="36"/>
      <c r="D129" s="36"/>
    </row>
    <row r="130" spans="3:4" x14ac:dyDescent="0.2">
      <c r="C130" s="36"/>
      <c r="D130" s="36"/>
    </row>
    <row r="131" spans="3:4" x14ac:dyDescent="0.2">
      <c r="C131" s="36"/>
      <c r="D131" s="36"/>
    </row>
    <row r="132" spans="3:4" x14ac:dyDescent="0.2">
      <c r="C132" s="36"/>
      <c r="D132" s="36"/>
    </row>
    <row r="133" spans="3:4" x14ac:dyDescent="0.2">
      <c r="C133" s="36"/>
      <c r="D133" s="36"/>
    </row>
    <row r="134" spans="3:4" x14ac:dyDescent="0.2">
      <c r="C134" s="36"/>
      <c r="D134" s="36"/>
    </row>
    <row r="135" spans="3:4" x14ac:dyDescent="0.2">
      <c r="C135" s="36"/>
      <c r="D135" s="36"/>
    </row>
    <row r="136" spans="3:4" x14ac:dyDescent="0.2">
      <c r="C136" s="36"/>
      <c r="D136" s="36"/>
    </row>
    <row r="137" spans="3:4" x14ac:dyDescent="0.2">
      <c r="C137" s="36"/>
      <c r="D137" s="36"/>
    </row>
    <row r="138" spans="3:4" x14ac:dyDescent="0.2">
      <c r="C138" s="36"/>
      <c r="D138" s="36"/>
    </row>
    <row r="139" spans="3:4" x14ac:dyDescent="0.2">
      <c r="C139" s="36"/>
      <c r="D139" s="36"/>
    </row>
    <row r="140" spans="3:4" x14ac:dyDescent="0.2">
      <c r="C140" s="36"/>
      <c r="D140" s="36"/>
    </row>
    <row r="141" spans="3:4" x14ac:dyDescent="0.2">
      <c r="C141" s="36"/>
      <c r="D141" s="36"/>
    </row>
    <row r="142" spans="3:4" x14ac:dyDescent="0.2">
      <c r="C142" s="36"/>
      <c r="D142" s="36"/>
    </row>
    <row r="143" spans="3:4" x14ac:dyDescent="0.2">
      <c r="C143" s="36"/>
      <c r="D143" s="36"/>
    </row>
    <row r="144" spans="3:4" x14ac:dyDescent="0.2">
      <c r="C144" s="36"/>
      <c r="D144" s="36"/>
    </row>
    <row r="145" spans="3:4" x14ac:dyDescent="0.2">
      <c r="C145" s="36"/>
      <c r="D145" s="36"/>
    </row>
    <row r="146" spans="3:4" x14ac:dyDescent="0.2">
      <c r="C146" s="36"/>
      <c r="D146" s="36"/>
    </row>
    <row r="147" spans="3:4" x14ac:dyDescent="0.2">
      <c r="C147" s="36"/>
      <c r="D147" s="36"/>
    </row>
    <row r="148" spans="3:4" x14ac:dyDescent="0.2">
      <c r="C148" s="36"/>
      <c r="D148" s="36"/>
    </row>
    <row r="149" spans="3:4" x14ac:dyDescent="0.2">
      <c r="C149" s="36"/>
      <c r="D149" s="36"/>
    </row>
    <row r="150" spans="3:4" x14ac:dyDescent="0.2">
      <c r="C150" s="36"/>
      <c r="D150" s="36"/>
    </row>
    <row r="151" spans="3:4" x14ac:dyDescent="0.2">
      <c r="C151" s="36"/>
      <c r="D151" s="36"/>
    </row>
    <row r="152" spans="3:4" x14ac:dyDescent="0.2">
      <c r="C152" s="36"/>
      <c r="D152" s="36"/>
    </row>
    <row r="153" spans="3:4" x14ac:dyDescent="0.2">
      <c r="C153" s="36"/>
      <c r="D153" s="36"/>
    </row>
    <row r="154" spans="3:4" x14ac:dyDescent="0.2">
      <c r="C154" s="36"/>
      <c r="D154" s="36"/>
    </row>
    <row r="155" spans="3:4" x14ac:dyDescent="0.2">
      <c r="C155" s="36"/>
      <c r="D155" s="36"/>
    </row>
    <row r="156" spans="3:4" x14ac:dyDescent="0.2">
      <c r="C156" s="36"/>
      <c r="D156" s="36"/>
    </row>
    <row r="157" spans="3:4" x14ac:dyDescent="0.2">
      <c r="C157" s="36"/>
      <c r="D157" s="36"/>
    </row>
    <row r="158" spans="3:4" x14ac:dyDescent="0.2">
      <c r="C158" s="36"/>
      <c r="D158" s="3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workbookViewId="0">
      <selection activeCell="A37" sqref="A37:D37"/>
    </sheetView>
  </sheetViews>
  <sheetFormatPr defaultRowHeight="12.75" x14ac:dyDescent="0.2"/>
  <cols>
    <col min="1" max="1" width="19.7109375" style="36" customWidth="1"/>
    <col min="2" max="2" width="4.42578125" style="14" customWidth="1"/>
    <col min="3" max="3" width="12.7109375" style="3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4" t="s">
        <v>49</v>
      </c>
      <c r="I1" s="45" t="s">
        <v>50</v>
      </c>
      <c r="J1" s="46" t="s">
        <v>51</v>
      </c>
    </row>
    <row r="2" spans="1:16" x14ac:dyDescent="0.2">
      <c r="I2" s="47" t="s">
        <v>52</v>
      </c>
      <c r="J2" s="48" t="s">
        <v>53</v>
      </c>
    </row>
    <row r="3" spans="1:16" x14ac:dyDescent="0.2">
      <c r="A3" s="49" t="s">
        <v>54</v>
      </c>
      <c r="I3" s="47" t="s">
        <v>55</v>
      </c>
      <c r="J3" s="48" t="s">
        <v>56</v>
      </c>
    </row>
    <row r="4" spans="1:16" x14ac:dyDescent="0.2">
      <c r="I4" s="47" t="s">
        <v>57</v>
      </c>
      <c r="J4" s="48" t="s">
        <v>56</v>
      </c>
    </row>
    <row r="5" spans="1:16" ht="13.5" thickBot="1" x14ac:dyDescent="0.25">
      <c r="I5" s="50" t="s">
        <v>58</v>
      </c>
      <c r="J5" s="51" t="s">
        <v>59</v>
      </c>
    </row>
    <row r="10" spans="1:16" ht="13.5" thickBot="1" x14ac:dyDescent="0.25"/>
    <row r="11" spans="1:16" ht="12.75" customHeight="1" thickBot="1" x14ac:dyDescent="0.25">
      <c r="A11" s="36" t="str">
        <f t="shared" ref="A11:A37" si="0">P11</f>
        <v>IBVS 5018 </v>
      </c>
      <c r="B11" s="2" t="str">
        <f t="shared" ref="B11:B37" si="1">IF(H11=INT(H11),"I","II")</f>
        <v>I</v>
      </c>
      <c r="C11" s="36">
        <f t="shared" ref="C11:C37" si="2">1*G11</f>
        <v>25327.870999999999</v>
      </c>
      <c r="D11" s="14" t="str">
        <f t="shared" ref="D11:D37" si="3">VLOOKUP(F11,I$1:J$5,2,FALSE)</f>
        <v>vis</v>
      </c>
      <c r="E11" s="52">
        <f>VLOOKUP(C11,Active!C$21:E$973,3,FALSE)</f>
        <v>-24904.158732574673</v>
      </c>
      <c r="F11" s="2" t="s">
        <v>58</v>
      </c>
      <c r="G11" s="14" t="str">
        <f t="shared" ref="G11:G37" si="4">MID(I11,3,LEN(I11)-3)</f>
        <v>25327.871</v>
      </c>
      <c r="H11" s="36">
        <f t="shared" ref="H11:H37" si="5">1*K11</f>
        <v>-24588</v>
      </c>
      <c r="I11" s="53" t="s">
        <v>60</v>
      </c>
      <c r="J11" s="54" t="s">
        <v>61</v>
      </c>
      <c r="K11" s="53">
        <v>-24588</v>
      </c>
      <c r="L11" s="53" t="s">
        <v>62</v>
      </c>
      <c r="M11" s="54" t="s">
        <v>63</v>
      </c>
      <c r="N11" s="54"/>
      <c r="O11" s="55" t="s">
        <v>64</v>
      </c>
      <c r="P11" s="56" t="s">
        <v>65</v>
      </c>
    </row>
    <row r="12" spans="1:16" ht="12.75" customHeight="1" thickBot="1" x14ac:dyDescent="0.25">
      <c r="A12" s="36" t="str">
        <f t="shared" si="0"/>
        <v>IBVS 5018 </v>
      </c>
      <c r="B12" s="2" t="str">
        <f t="shared" si="1"/>
        <v>I</v>
      </c>
      <c r="C12" s="36">
        <f t="shared" si="2"/>
        <v>26914.720000000001</v>
      </c>
      <c r="D12" s="14" t="str">
        <f t="shared" si="3"/>
        <v>vis</v>
      </c>
      <c r="E12" s="52">
        <f>VLOOKUP(C12,Active!C$21:E$973,3,FALSE)</f>
        <v>-23468.218311584202</v>
      </c>
      <c r="F12" s="2" t="s">
        <v>58</v>
      </c>
      <c r="G12" s="14" t="str">
        <f t="shared" si="4"/>
        <v>26914.720</v>
      </c>
      <c r="H12" s="36">
        <f t="shared" si="5"/>
        <v>-23152</v>
      </c>
      <c r="I12" s="53" t="s">
        <v>66</v>
      </c>
      <c r="J12" s="54" t="s">
        <v>67</v>
      </c>
      <c r="K12" s="53">
        <v>-23152</v>
      </c>
      <c r="L12" s="53" t="s">
        <v>68</v>
      </c>
      <c r="M12" s="54" t="s">
        <v>63</v>
      </c>
      <c r="N12" s="54"/>
      <c r="O12" s="55" t="s">
        <v>64</v>
      </c>
      <c r="P12" s="56" t="s">
        <v>65</v>
      </c>
    </row>
    <row r="13" spans="1:16" ht="12.75" customHeight="1" thickBot="1" x14ac:dyDescent="0.25">
      <c r="A13" s="36" t="str">
        <f t="shared" si="0"/>
        <v>IBVS 5018 </v>
      </c>
      <c r="B13" s="2" t="str">
        <f t="shared" si="1"/>
        <v>I</v>
      </c>
      <c r="C13" s="36">
        <f t="shared" si="2"/>
        <v>42220.527000000002</v>
      </c>
      <c r="D13" s="14" t="str">
        <f t="shared" si="3"/>
        <v>vis</v>
      </c>
      <c r="E13" s="52">
        <f>VLOOKUP(C13,Active!C$21:E$973,3,FALSE)</f>
        <v>-9617.9862181847184</v>
      </c>
      <c r="F13" s="2" t="s">
        <v>58</v>
      </c>
      <c r="G13" s="14" t="str">
        <f t="shared" si="4"/>
        <v>42220.527</v>
      </c>
      <c r="H13" s="36">
        <f t="shared" si="5"/>
        <v>-9302</v>
      </c>
      <c r="I13" s="53" t="s">
        <v>69</v>
      </c>
      <c r="J13" s="54" t="s">
        <v>70</v>
      </c>
      <c r="K13" s="53">
        <v>-9302</v>
      </c>
      <c r="L13" s="53" t="s">
        <v>71</v>
      </c>
      <c r="M13" s="54" t="s">
        <v>63</v>
      </c>
      <c r="N13" s="54"/>
      <c r="O13" s="55" t="s">
        <v>64</v>
      </c>
      <c r="P13" s="56" t="s">
        <v>65</v>
      </c>
    </row>
    <row r="14" spans="1:16" ht="12.75" customHeight="1" thickBot="1" x14ac:dyDescent="0.25">
      <c r="A14" s="36" t="str">
        <f t="shared" si="0"/>
        <v>IBVS 5018 </v>
      </c>
      <c r="B14" s="2" t="str">
        <f t="shared" si="1"/>
        <v>I</v>
      </c>
      <c r="C14" s="36">
        <f t="shared" si="2"/>
        <v>43347.671000000002</v>
      </c>
      <c r="D14" s="14" t="str">
        <f t="shared" si="3"/>
        <v>vis</v>
      </c>
      <c r="E14" s="52">
        <f>VLOOKUP(C14,Active!C$21:E$973,3,FALSE)</f>
        <v>-8598.0330721217451</v>
      </c>
      <c r="F14" s="2" t="s">
        <v>58</v>
      </c>
      <c r="G14" s="14" t="str">
        <f t="shared" si="4"/>
        <v>43347.671</v>
      </c>
      <c r="H14" s="36">
        <f t="shared" si="5"/>
        <v>-8282</v>
      </c>
      <c r="I14" s="53" t="s">
        <v>72</v>
      </c>
      <c r="J14" s="54" t="s">
        <v>73</v>
      </c>
      <c r="K14" s="53">
        <v>-8282</v>
      </c>
      <c r="L14" s="53" t="s">
        <v>74</v>
      </c>
      <c r="M14" s="54" t="s">
        <v>63</v>
      </c>
      <c r="N14" s="54"/>
      <c r="O14" s="55" t="s">
        <v>64</v>
      </c>
      <c r="P14" s="56" t="s">
        <v>65</v>
      </c>
    </row>
    <row r="15" spans="1:16" ht="12.75" customHeight="1" thickBot="1" x14ac:dyDescent="0.25">
      <c r="A15" s="36" t="str">
        <f t="shared" si="0"/>
        <v>IBVS 5018 </v>
      </c>
      <c r="B15" s="2" t="str">
        <f t="shared" si="1"/>
        <v>I</v>
      </c>
      <c r="C15" s="36">
        <f t="shared" si="2"/>
        <v>45606.553999999996</v>
      </c>
      <c r="D15" s="14" t="str">
        <f t="shared" si="3"/>
        <v>vis</v>
      </c>
      <c r="E15" s="52">
        <f>VLOOKUP(C15,Active!C$21:E$973,3,FALSE)</f>
        <v>-6553.968762292513</v>
      </c>
      <c r="F15" s="2" t="s">
        <v>58</v>
      </c>
      <c r="G15" s="14" t="str">
        <f t="shared" si="4"/>
        <v>45606.554</v>
      </c>
      <c r="H15" s="36">
        <f t="shared" si="5"/>
        <v>-6238</v>
      </c>
      <c r="I15" s="53" t="s">
        <v>75</v>
      </c>
      <c r="J15" s="54" t="s">
        <v>76</v>
      </c>
      <c r="K15" s="53">
        <v>-6238</v>
      </c>
      <c r="L15" s="53" t="s">
        <v>77</v>
      </c>
      <c r="M15" s="54" t="s">
        <v>63</v>
      </c>
      <c r="N15" s="54"/>
      <c r="O15" s="55" t="s">
        <v>64</v>
      </c>
      <c r="P15" s="56" t="s">
        <v>65</v>
      </c>
    </row>
    <row r="16" spans="1:16" ht="12.75" customHeight="1" thickBot="1" x14ac:dyDescent="0.25">
      <c r="A16" s="36" t="str">
        <f t="shared" si="0"/>
        <v>IBVS 5018 </v>
      </c>
      <c r="B16" s="2" t="str">
        <f t="shared" si="1"/>
        <v>I</v>
      </c>
      <c r="C16" s="36">
        <f t="shared" si="2"/>
        <v>45819.803</v>
      </c>
      <c r="D16" s="14" t="str">
        <f t="shared" si="3"/>
        <v>vis</v>
      </c>
      <c r="E16" s="52">
        <f>VLOOKUP(C16,Active!C$21:E$973,3,FALSE)</f>
        <v>-6360.9996399401025</v>
      </c>
      <c r="F16" s="2" t="s">
        <v>58</v>
      </c>
      <c r="G16" s="14" t="str">
        <f t="shared" si="4"/>
        <v>45819.803</v>
      </c>
      <c r="H16" s="36">
        <f t="shared" si="5"/>
        <v>-6045</v>
      </c>
      <c r="I16" s="53" t="s">
        <v>78</v>
      </c>
      <c r="J16" s="54" t="s">
        <v>79</v>
      </c>
      <c r="K16" s="53">
        <v>-6045</v>
      </c>
      <c r="L16" s="53" t="s">
        <v>80</v>
      </c>
      <c r="M16" s="54" t="s">
        <v>63</v>
      </c>
      <c r="N16" s="54"/>
      <c r="O16" s="55" t="s">
        <v>64</v>
      </c>
      <c r="P16" s="56" t="s">
        <v>65</v>
      </c>
    </row>
    <row r="17" spans="1:16" ht="12.75" customHeight="1" thickBot="1" x14ac:dyDescent="0.25">
      <c r="A17" s="36" t="str">
        <f t="shared" si="0"/>
        <v>IBVS 5018 </v>
      </c>
      <c r="B17" s="2" t="str">
        <f t="shared" si="1"/>
        <v>I</v>
      </c>
      <c r="C17" s="36">
        <f t="shared" si="2"/>
        <v>46881.864999999998</v>
      </c>
      <c r="D17" s="14" t="str">
        <f t="shared" si="3"/>
        <v>vis</v>
      </c>
      <c r="E17" s="52">
        <f>VLOOKUP(C17,Active!C$21:E$973,3,FALSE)</f>
        <v>-5399.9392268838019</v>
      </c>
      <c r="F17" s="2" t="s">
        <v>58</v>
      </c>
      <c r="G17" s="14" t="str">
        <f t="shared" si="4"/>
        <v>46881.865</v>
      </c>
      <c r="H17" s="36">
        <f t="shared" si="5"/>
        <v>-5084</v>
      </c>
      <c r="I17" s="53" t="s">
        <v>81</v>
      </c>
      <c r="J17" s="54" t="s">
        <v>82</v>
      </c>
      <c r="K17" s="53">
        <v>-5084</v>
      </c>
      <c r="L17" s="53" t="s">
        <v>83</v>
      </c>
      <c r="M17" s="54" t="s">
        <v>63</v>
      </c>
      <c r="N17" s="54"/>
      <c r="O17" s="55" t="s">
        <v>64</v>
      </c>
      <c r="P17" s="56" t="s">
        <v>65</v>
      </c>
    </row>
    <row r="18" spans="1:16" ht="12.75" customHeight="1" thickBot="1" x14ac:dyDescent="0.25">
      <c r="A18" s="36" t="str">
        <f t="shared" si="0"/>
        <v>IBVS 5018 </v>
      </c>
      <c r="B18" s="2" t="str">
        <f t="shared" si="1"/>
        <v>I</v>
      </c>
      <c r="C18" s="36">
        <f t="shared" si="2"/>
        <v>47270.81</v>
      </c>
      <c r="D18" s="14" t="str">
        <f t="shared" si="3"/>
        <v>vis</v>
      </c>
      <c r="E18" s="52">
        <f>VLOOKUP(C18,Active!C$21:E$973,3,FALSE)</f>
        <v>-5047.9827098855631</v>
      </c>
      <c r="F18" s="2" t="s">
        <v>58</v>
      </c>
      <c r="G18" s="14" t="str">
        <f t="shared" si="4"/>
        <v>47270.810</v>
      </c>
      <c r="H18" s="36">
        <f t="shared" si="5"/>
        <v>-4732</v>
      </c>
      <c r="I18" s="53" t="s">
        <v>84</v>
      </c>
      <c r="J18" s="54" t="s">
        <v>85</v>
      </c>
      <c r="K18" s="53">
        <v>-4732</v>
      </c>
      <c r="L18" s="53" t="s">
        <v>86</v>
      </c>
      <c r="M18" s="54" t="s">
        <v>63</v>
      </c>
      <c r="N18" s="54"/>
      <c r="O18" s="55" t="s">
        <v>64</v>
      </c>
      <c r="P18" s="56" t="s">
        <v>65</v>
      </c>
    </row>
    <row r="19" spans="1:16" ht="12.75" customHeight="1" thickBot="1" x14ac:dyDescent="0.25">
      <c r="A19" s="36" t="str">
        <f t="shared" si="0"/>
        <v>IBVS 5018 </v>
      </c>
      <c r="B19" s="2" t="str">
        <f t="shared" si="1"/>
        <v>I</v>
      </c>
      <c r="C19" s="36">
        <f t="shared" si="2"/>
        <v>49989.322999999997</v>
      </c>
      <c r="D19" s="14" t="str">
        <f t="shared" si="3"/>
        <v>vis</v>
      </c>
      <c r="E19" s="52">
        <f>VLOOKUP(C19,Active!C$21:E$973,3,FALSE)</f>
        <v>-2587.9989926647918</v>
      </c>
      <c r="F19" s="2" t="s">
        <v>58</v>
      </c>
      <c r="G19" s="14" t="str">
        <f t="shared" si="4"/>
        <v>49989.323</v>
      </c>
      <c r="H19" s="36">
        <f t="shared" si="5"/>
        <v>-2272</v>
      </c>
      <c r="I19" s="53" t="s">
        <v>87</v>
      </c>
      <c r="J19" s="54" t="s">
        <v>88</v>
      </c>
      <c r="K19" s="53">
        <v>-2272</v>
      </c>
      <c r="L19" s="53" t="s">
        <v>89</v>
      </c>
      <c r="M19" s="54" t="s">
        <v>63</v>
      </c>
      <c r="N19" s="54"/>
      <c r="O19" s="55" t="s">
        <v>64</v>
      </c>
      <c r="P19" s="56" t="s">
        <v>65</v>
      </c>
    </row>
    <row r="20" spans="1:16" ht="12.75" customHeight="1" thickBot="1" x14ac:dyDescent="0.25">
      <c r="A20" s="36" t="str">
        <f t="shared" si="0"/>
        <v>IBVS 5018 </v>
      </c>
      <c r="B20" s="2" t="str">
        <f t="shared" si="1"/>
        <v>I</v>
      </c>
      <c r="C20" s="36">
        <f t="shared" si="2"/>
        <v>50274.464999999997</v>
      </c>
      <c r="D20" s="14" t="str">
        <f t="shared" si="3"/>
        <v>vis</v>
      </c>
      <c r="E20" s="52">
        <f>VLOOKUP(C20,Active!C$21:E$973,3,FALSE)</f>
        <v>-2329.9738601398544</v>
      </c>
      <c r="F20" s="2" t="s">
        <v>58</v>
      </c>
      <c r="G20" s="14" t="str">
        <f t="shared" si="4"/>
        <v>50274.465</v>
      </c>
      <c r="H20" s="36">
        <f t="shared" si="5"/>
        <v>-2014</v>
      </c>
      <c r="I20" s="53" t="s">
        <v>90</v>
      </c>
      <c r="J20" s="54" t="s">
        <v>91</v>
      </c>
      <c r="K20" s="53">
        <v>-2014</v>
      </c>
      <c r="L20" s="53" t="s">
        <v>92</v>
      </c>
      <c r="M20" s="54" t="s">
        <v>63</v>
      </c>
      <c r="N20" s="54"/>
      <c r="O20" s="55" t="s">
        <v>64</v>
      </c>
      <c r="P20" s="56" t="s">
        <v>65</v>
      </c>
    </row>
    <row r="21" spans="1:16" ht="12.75" customHeight="1" thickBot="1" x14ac:dyDescent="0.25">
      <c r="A21" s="36" t="str">
        <f t="shared" si="0"/>
        <v>IBVS 5018 </v>
      </c>
      <c r="B21" s="2" t="str">
        <f t="shared" si="1"/>
        <v>I</v>
      </c>
      <c r="C21" s="36">
        <f t="shared" si="2"/>
        <v>51255.616000000002</v>
      </c>
      <c r="D21" s="14" t="str">
        <f t="shared" si="3"/>
        <v>vis</v>
      </c>
      <c r="E21" s="52">
        <f>VLOOKUP(C21,Active!C$21:E$973,3,FALSE)</f>
        <v>-1442.129849780187</v>
      </c>
      <c r="F21" s="2" t="s">
        <v>58</v>
      </c>
      <c r="G21" s="14" t="str">
        <f t="shared" si="4"/>
        <v>51255.616</v>
      </c>
      <c r="H21" s="36">
        <f t="shared" si="5"/>
        <v>-1126</v>
      </c>
      <c r="I21" s="53" t="s">
        <v>93</v>
      </c>
      <c r="J21" s="54" t="s">
        <v>94</v>
      </c>
      <c r="K21" s="53">
        <v>-1126</v>
      </c>
      <c r="L21" s="53" t="s">
        <v>95</v>
      </c>
      <c r="M21" s="54" t="s">
        <v>63</v>
      </c>
      <c r="N21" s="54"/>
      <c r="O21" s="55" t="s">
        <v>64</v>
      </c>
      <c r="P21" s="56" t="s">
        <v>65</v>
      </c>
    </row>
    <row r="22" spans="1:16" ht="12.75" customHeight="1" thickBot="1" x14ac:dyDescent="0.25">
      <c r="A22" s="36" t="str">
        <f t="shared" si="0"/>
        <v>IBVS 5018 </v>
      </c>
      <c r="B22" s="2" t="str">
        <f t="shared" si="1"/>
        <v>I</v>
      </c>
      <c r="C22" s="36">
        <f t="shared" si="2"/>
        <v>51513.298000000003</v>
      </c>
      <c r="D22" s="14" t="str">
        <f t="shared" si="3"/>
        <v>vis</v>
      </c>
      <c r="E22" s="52">
        <f>VLOOKUP(C22,Active!C$21:E$973,3,FALSE)</f>
        <v>-1208.9532844222563</v>
      </c>
      <c r="F22" s="2" t="s">
        <v>58</v>
      </c>
      <c r="G22" s="14" t="str">
        <f t="shared" si="4"/>
        <v>51513.298</v>
      </c>
      <c r="H22" s="36">
        <f t="shared" si="5"/>
        <v>-893</v>
      </c>
      <c r="I22" s="53" t="s">
        <v>96</v>
      </c>
      <c r="J22" s="54" t="s">
        <v>97</v>
      </c>
      <c r="K22" s="53">
        <v>-893</v>
      </c>
      <c r="L22" s="53" t="s">
        <v>98</v>
      </c>
      <c r="M22" s="54" t="s">
        <v>63</v>
      </c>
      <c r="N22" s="54"/>
      <c r="O22" s="55" t="s">
        <v>64</v>
      </c>
      <c r="P22" s="56" t="s">
        <v>65</v>
      </c>
    </row>
    <row r="23" spans="1:16" ht="12.75" customHeight="1" thickBot="1" x14ac:dyDescent="0.25">
      <c r="A23" s="36" t="str">
        <f t="shared" si="0"/>
        <v>IBVS 5018 </v>
      </c>
      <c r="B23" s="2" t="str">
        <f t="shared" si="1"/>
        <v>I</v>
      </c>
      <c r="C23" s="36">
        <f t="shared" si="2"/>
        <v>51842.569499999998</v>
      </c>
      <c r="D23" s="14" t="str">
        <f t="shared" si="3"/>
        <v>vis</v>
      </c>
      <c r="E23" s="52">
        <f>VLOOKUP(C23,Active!C$21:E$973,3,FALSE)</f>
        <v>-910.99534618732855</v>
      </c>
      <c r="F23" s="2" t="s">
        <v>58</v>
      </c>
      <c r="G23" s="14" t="str">
        <f t="shared" si="4"/>
        <v>51842.5695</v>
      </c>
      <c r="H23" s="36">
        <f t="shared" si="5"/>
        <v>-595</v>
      </c>
      <c r="I23" s="53" t="s">
        <v>99</v>
      </c>
      <c r="J23" s="54" t="s">
        <v>100</v>
      </c>
      <c r="K23" s="53">
        <v>-595</v>
      </c>
      <c r="L23" s="53" t="s">
        <v>101</v>
      </c>
      <c r="M23" s="54" t="s">
        <v>102</v>
      </c>
      <c r="N23" s="54"/>
      <c r="O23" s="55" t="s">
        <v>103</v>
      </c>
      <c r="P23" s="56" t="s">
        <v>65</v>
      </c>
    </row>
    <row r="24" spans="1:16" ht="12.75" customHeight="1" thickBot="1" x14ac:dyDescent="0.25">
      <c r="A24" s="36" t="str">
        <f t="shared" si="0"/>
        <v>IBVS 5018 </v>
      </c>
      <c r="B24" s="2" t="str">
        <f t="shared" si="1"/>
        <v>I</v>
      </c>
      <c r="C24" s="36">
        <f t="shared" si="2"/>
        <v>51843.671600000001</v>
      </c>
      <c r="D24" s="14" t="str">
        <f t="shared" si="3"/>
        <v>vis</v>
      </c>
      <c r="E24" s="52">
        <f>VLOOKUP(C24,Active!C$21:E$973,3,FALSE)</f>
        <v>-909.99805536887084</v>
      </c>
      <c r="F24" s="2" t="s">
        <v>58</v>
      </c>
      <c r="G24" s="14" t="str">
        <f t="shared" si="4"/>
        <v>51843.6716</v>
      </c>
      <c r="H24" s="36">
        <f t="shared" si="5"/>
        <v>-594</v>
      </c>
      <c r="I24" s="53" t="s">
        <v>104</v>
      </c>
      <c r="J24" s="54" t="s">
        <v>105</v>
      </c>
      <c r="K24" s="53">
        <v>-594</v>
      </c>
      <c r="L24" s="53" t="s">
        <v>106</v>
      </c>
      <c r="M24" s="54" t="s">
        <v>102</v>
      </c>
      <c r="N24" s="54"/>
      <c r="O24" s="55" t="s">
        <v>103</v>
      </c>
      <c r="P24" s="56" t="s">
        <v>65</v>
      </c>
    </row>
    <row r="25" spans="1:16" ht="12.75" customHeight="1" thickBot="1" x14ac:dyDescent="0.25">
      <c r="A25" s="36" t="str">
        <f t="shared" si="0"/>
        <v>IBVS 5018 </v>
      </c>
      <c r="B25" s="2" t="str">
        <f t="shared" si="1"/>
        <v>I</v>
      </c>
      <c r="C25" s="36">
        <f t="shared" si="2"/>
        <v>51853.620600000002</v>
      </c>
      <c r="D25" s="14" t="str">
        <f t="shared" si="3"/>
        <v>vis</v>
      </c>
      <c r="E25" s="52">
        <f>VLOOKUP(C25,Active!C$21:E$973,3,FALSE)</f>
        <v>-900.99520049834757</v>
      </c>
      <c r="F25" s="2" t="s">
        <v>58</v>
      </c>
      <c r="G25" s="14" t="str">
        <f t="shared" si="4"/>
        <v>51853.6206</v>
      </c>
      <c r="H25" s="36">
        <f t="shared" si="5"/>
        <v>-585</v>
      </c>
      <c r="I25" s="53" t="s">
        <v>107</v>
      </c>
      <c r="J25" s="54" t="s">
        <v>108</v>
      </c>
      <c r="K25" s="53">
        <v>-585</v>
      </c>
      <c r="L25" s="53" t="s">
        <v>109</v>
      </c>
      <c r="M25" s="54" t="s">
        <v>110</v>
      </c>
      <c r="N25" s="54" t="s">
        <v>111</v>
      </c>
      <c r="O25" s="55" t="s">
        <v>112</v>
      </c>
      <c r="P25" s="56" t="s">
        <v>65</v>
      </c>
    </row>
    <row r="26" spans="1:16" ht="12.75" customHeight="1" thickBot="1" x14ac:dyDescent="0.25">
      <c r="A26" s="36" t="str">
        <f t="shared" si="0"/>
        <v>IBVS 5018 </v>
      </c>
      <c r="B26" s="2" t="str">
        <f t="shared" si="1"/>
        <v>I</v>
      </c>
      <c r="C26" s="36">
        <f t="shared" si="2"/>
        <v>51853.620600000002</v>
      </c>
      <c r="D26" s="14" t="str">
        <f t="shared" si="3"/>
        <v>vis</v>
      </c>
      <c r="E26" s="52">
        <f>VLOOKUP(C26,Active!C$21:E$973,3,FALSE)</f>
        <v>-900.99520049834757</v>
      </c>
      <c r="F26" s="2" t="s">
        <v>58</v>
      </c>
      <c r="G26" s="14" t="str">
        <f t="shared" si="4"/>
        <v>51853.6206</v>
      </c>
      <c r="H26" s="36">
        <f t="shared" si="5"/>
        <v>-585</v>
      </c>
      <c r="I26" s="53" t="s">
        <v>107</v>
      </c>
      <c r="J26" s="54" t="s">
        <v>108</v>
      </c>
      <c r="K26" s="53">
        <v>-585</v>
      </c>
      <c r="L26" s="53" t="s">
        <v>109</v>
      </c>
      <c r="M26" s="54" t="s">
        <v>110</v>
      </c>
      <c r="N26" s="54" t="s">
        <v>111</v>
      </c>
      <c r="O26" s="55" t="s">
        <v>113</v>
      </c>
      <c r="P26" s="56" t="s">
        <v>65</v>
      </c>
    </row>
    <row r="27" spans="1:16" ht="12.75" customHeight="1" thickBot="1" x14ac:dyDescent="0.25">
      <c r="A27" s="36" t="str">
        <f t="shared" si="0"/>
        <v>IBVS 5018 </v>
      </c>
      <c r="B27" s="2" t="str">
        <f t="shared" si="1"/>
        <v>I</v>
      </c>
      <c r="C27" s="36">
        <f t="shared" si="2"/>
        <v>51854.725700000003</v>
      </c>
      <c r="D27" s="14" t="str">
        <f t="shared" si="3"/>
        <v>vis</v>
      </c>
      <c r="E27" s="52">
        <f>VLOOKUP(C27,Active!C$21:E$973,3,FALSE)</f>
        <v>-899.99519497845404</v>
      </c>
      <c r="F27" s="2" t="s">
        <v>58</v>
      </c>
      <c r="G27" s="14" t="str">
        <f t="shared" si="4"/>
        <v>51854.7257</v>
      </c>
      <c r="H27" s="36">
        <f t="shared" si="5"/>
        <v>-584</v>
      </c>
      <c r="I27" s="53" t="s">
        <v>114</v>
      </c>
      <c r="J27" s="54" t="s">
        <v>115</v>
      </c>
      <c r="K27" s="53">
        <v>-584</v>
      </c>
      <c r="L27" s="53" t="s">
        <v>109</v>
      </c>
      <c r="M27" s="54" t="s">
        <v>110</v>
      </c>
      <c r="N27" s="54" t="s">
        <v>111</v>
      </c>
      <c r="O27" s="55" t="s">
        <v>116</v>
      </c>
      <c r="P27" s="56" t="s">
        <v>65</v>
      </c>
    </row>
    <row r="28" spans="1:16" ht="12.75" customHeight="1" thickBot="1" x14ac:dyDescent="0.25">
      <c r="A28" s="36" t="str">
        <f t="shared" si="0"/>
        <v>IBVS 5018 </v>
      </c>
      <c r="B28" s="2" t="str">
        <f t="shared" si="1"/>
        <v>I</v>
      </c>
      <c r="C28" s="36">
        <f t="shared" si="2"/>
        <v>51874.617400000003</v>
      </c>
      <c r="D28" s="14" t="str">
        <f t="shared" si="3"/>
        <v>vis</v>
      </c>
      <c r="E28" s="52">
        <f>VLOOKUP(C28,Active!C$21:E$973,3,FALSE)</f>
        <v>-881.99518611042924</v>
      </c>
      <c r="F28" s="2" t="s">
        <v>58</v>
      </c>
      <c r="G28" s="14" t="str">
        <f t="shared" si="4"/>
        <v>51874.6174</v>
      </c>
      <c r="H28" s="36">
        <f t="shared" si="5"/>
        <v>-566</v>
      </c>
      <c r="I28" s="53" t="s">
        <v>117</v>
      </c>
      <c r="J28" s="54" t="s">
        <v>118</v>
      </c>
      <c r="K28" s="53">
        <v>-566</v>
      </c>
      <c r="L28" s="53" t="s">
        <v>119</v>
      </c>
      <c r="M28" s="54" t="s">
        <v>110</v>
      </c>
      <c r="N28" s="54" t="s">
        <v>111</v>
      </c>
      <c r="O28" s="55" t="s">
        <v>120</v>
      </c>
      <c r="P28" s="56" t="s">
        <v>65</v>
      </c>
    </row>
    <row r="29" spans="1:16" ht="12.75" customHeight="1" thickBot="1" x14ac:dyDescent="0.25">
      <c r="A29" s="36" t="str">
        <f t="shared" si="0"/>
        <v>IBVS 5018 </v>
      </c>
      <c r="B29" s="2" t="str">
        <f t="shared" si="1"/>
        <v>I</v>
      </c>
      <c r="C29" s="36">
        <f t="shared" si="2"/>
        <v>51905.5599</v>
      </c>
      <c r="D29" s="14" t="str">
        <f t="shared" si="3"/>
        <v>vis</v>
      </c>
      <c r="E29" s="52">
        <f>VLOOKUP(C29,Active!C$21:E$973,3,FALSE)</f>
        <v>-853.99530302357357</v>
      </c>
      <c r="F29" s="2" t="s">
        <v>58</v>
      </c>
      <c r="G29" s="14" t="str">
        <f t="shared" si="4"/>
        <v>51905.5599</v>
      </c>
      <c r="H29" s="36">
        <f t="shared" si="5"/>
        <v>-538</v>
      </c>
      <c r="I29" s="53" t="s">
        <v>121</v>
      </c>
      <c r="J29" s="54" t="s">
        <v>122</v>
      </c>
      <c r="K29" s="53">
        <v>-538</v>
      </c>
      <c r="L29" s="53" t="s">
        <v>109</v>
      </c>
      <c r="M29" s="54" t="s">
        <v>110</v>
      </c>
      <c r="N29" s="54" t="s">
        <v>111</v>
      </c>
      <c r="O29" s="55" t="s">
        <v>120</v>
      </c>
      <c r="P29" s="56" t="s">
        <v>65</v>
      </c>
    </row>
    <row r="30" spans="1:16" ht="12.75" customHeight="1" thickBot="1" x14ac:dyDescent="0.25">
      <c r="A30" s="36" t="str">
        <f t="shared" si="0"/>
        <v> BBS 125 </v>
      </c>
      <c r="B30" s="2" t="str">
        <f t="shared" si="1"/>
        <v>I</v>
      </c>
      <c r="C30" s="36">
        <f t="shared" si="2"/>
        <v>52041.493999999999</v>
      </c>
      <c r="D30" s="14" t="str">
        <f t="shared" si="3"/>
        <v>vis</v>
      </c>
      <c r="E30" s="52">
        <f>VLOOKUP(C30,Active!C$21:E$973,3,FALSE)</f>
        <v>-730.98847075348442</v>
      </c>
      <c r="F30" s="2" t="s">
        <v>58</v>
      </c>
      <c r="G30" s="14" t="str">
        <f t="shared" si="4"/>
        <v>52041.494</v>
      </c>
      <c r="H30" s="36">
        <f t="shared" si="5"/>
        <v>-415</v>
      </c>
      <c r="I30" s="53" t="s">
        <v>123</v>
      </c>
      <c r="J30" s="54" t="s">
        <v>124</v>
      </c>
      <c r="K30" s="53">
        <v>-415</v>
      </c>
      <c r="L30" s="53" t="s">
        <v>125</v>
      </c>
      <c r="M30" s="54" t="s">
        <v>102</v>
      </c>
      <c r="N30" s="54"/>
      <c r="O30" s="55" t="s">
        <v>126</v>
      </c>
      <c r="P30" s="55" t="s">
        <v>127</v>
      </c>
    </row>
    <row r="31" spans="1:16" ht="12.75" customHeight="1" thickBot="1" x14ac:dyDescent="0.25">
      <c r="A31" s="36" t="str">
        <f t="shared" si="0"/>
        <v> BBS 126 </v>
      </c>
      <c r="B31" s="2" t="str">
        <f t="shared" si="1"/>
        <v>I</v>
      </c>
      <c r="C31" s="36">
        <f t="shared" si="2"/>
        <v>52137.629000000001</v>
      </c>
      <c r="D31" s="14" t="str">
        <f t="shared" si="3"/>
        <v>vis</v>
      </c>
      <c r="E31" s="52">
        <f>VLOOKUP(C31,Active!C$21:E$973,3,FALSE)</f>
        <v>-643.99586315696979</v>
      </c>
      <c r="F31" s="2" t="s">
        <v>58</v>
      </c>
      <c r="G31" s="14" t="str">
        <f t="shared" si="4"/>
        <v>52137.629</v>
      </c>
      <c r="H31" s="36">
        <f t="shared" si="5"/>
        <v>-328</v>
      </c>
      <c r="I31" s="53" t="s">
        <v>128</v>
      </c>
      <c r="J31" s="54" t="s">
        <v>129</v>
      </c>
      <c r="K31" s="53">
        <v>-328</v>
      </c>
      <c r="L31" s="53" t="s">
        <v>130</v>
      </c>
      <c r="M31" s="54" t="s">
        <v>102</v>
      </c>
      <c r="N31" s="54"/>
      <c r="O31" s="55" t="s">
        <v>103</v>
      </c>
      <c r="P31" s="55" t="s">
        <v>131</v>
      </c>
    </row>
    <row r="32" spans="1:16" ht="12.75" customHeight="1" thickBot="1" x14ac:dyDescent="0.25">
      <c r="A32" s="36" t="str">
        <f t="shared" si="0"/>
        <v> BBS 126 </v>
      </c>
      <c r="B32" s="2" t="str">
        <f t="shared" si="1"/>
        <v>I</v>
      </c>
      <c r="C32" s="36">
        <f t="shared" si="2"/>
        <v>52197.315000000002</v>
      </c>
      <c r="D32" s="14" t="str">
        <f t="shared" si="3"/>
        <v>vis</v>
      </c>
      <c r="E32" s="52">
        <f>VLOOKUP(C32,Active!C$21:E$973,3,FALSE)</f>
        <v>-589.98597313766777</v>
      </c>
      <c r="F32" s="2" t="s">
        <v>58</v>
      </c>
      <c r="G32" s="14" t="str">
        <f t="shared" si="4"/>
        <v>52197.315</v>
      </c>
      <c r="H32" s="36">
        <f t="shared" si="5"/>
        <v>-274</v>
      </c>
      <c r="I32" s="53" t="s">
        <v>132</v>
      </c>
      <c r="J32" s="54" t="s">
        <v>133</v>
      </c>
      <c r="K32" s="53">
        <v>-274</v>
      </c>
      <c r="L32" s="53" t="s">
        <v>134</v>
      </c>
      <c r="M32" s="54" t="s">
        <v>102</v>
      </c>
      <c r="N32" s="54"/>
      <c r="O32" s="55" t="s">
        <v>126</v>
      </c>
      <c r="P32" s="55" t="s">
        <v>131</v>
      </c>
    </row>
    <row r="33" spans="1:16" ht="12.75" customHeight="1" thickBot="1" x14ac:dyDescent="0.25">
      <c r="A33" s="36" t="str">
        <f t="shared" si="0"/>
        <v> BBS 130 </v>
      </c>
      <c r="B33" s="2" t="str">
        <f t="shared" si="1"/>
        <v>I</v>
      </c>
      <c r="C33" s="36">
        <f t="shared" si="2"/>
        <v>52840.457999999999</v>
      </c>
      <c r="D33" s="14" t="str">
        <f t="shared" si="3"/>
        <v>vis</v>
      </c>
      <c r="E33" s="52">
        <f>VLOOKUP(C33,Active!C$21:E$973,3,FALSE)</f>
        <v>-8.0055640520720441</v>
      </c>
      <c r="F33" s="2" t="s">
        <v>58</v>
      </c>
      <c r="G33" s="14" t="str">
        <f t="shared" si="4"/>
        <v>52840.458</v>
      </c>
      <c r="H33" s="36">
        <f t="shared" si="5"/>
        <v>308</v>
      </c>
      <c r="I33" s="53" t="s">
        <v>135</v>
      </c>
      <c r="J33" s="54" t="s">
        <v>136</v>
      </c>
      <c r="K33" s="53">
        <v>308</v>
      </c>
      <c r="L33" s="53" t="s">
        <v>137</v>
      </c>
      <c r="M33" s="54" t="s">
        <v>102</v>
      </c>
      <c r="N33" s="54"/>
      <c r="O33" s="55" t="s">
        <v>126</v>
      </c>
      <c r="P33" s="55" t="s">
        <v>138</v>
      </c>
    </row>
    <row r="34" spans="1:16" ht="12.75" customHeight="1" thickBot="1" x14ac:dyDescent="0.25">
      <c r="A34" s="36" t="str">
        <f t="shared" si="0"/>
        <v>IBVS 5592 </v>
      </c>
      <c r="B34" s="2" t="str">
        <f t="shared" si="1"/>
        <v>I</v>
      </c>
      <c r="C34" s="36">
        <f t="shared" si="2"/>
        <v>52849.304900000003</v>
      </c>
      <c r="D34" s="14" t="str">
        <f t="shared" si="3"/>
        <v>vis</v>
      </c>
      <c r="E34" s="52">
        <f>VLOOKUP(C34,Active!C$21:E$973,3,FALSE)</f>
        <v>0</v>
      </c>
      <c r="F34" s="2" t="s">
        <v>58</v>
      </c>
      <c r="G34" s="14" t="str">
        <f t="shared" si="4"/>
        <v>52849.3049</v>
      </c>
      <c r="H34" s="36">
        <f t="shared" si="5"/>
        <v>316</v>
      </c>
      <c r="I34" s="53" t="s">
        <v>139</v>
      </c>
      <c r="J34" s="54" t="s">
        <v>140</v>
      </c>
      <c r="K34" s="53">
        <v>316</v>
      </c>
      <c r="L34" s="53" t="s">
        <v>141</v>
      </c>
      <c r="M34" s="54" t="s">
        <v>110</v>
      </c>
      <c r="N34" s="54" t="s">
        <v>142</v>
      </c>
      <c r="O34" s="55" t="s">
        <v>143</v>
      </c>
      <c r="P34" s="56" t="s">
        <v>144</v>
      </c>
    </row>
    <row r="35" spans="1:16" ht="12.75" customHeight="1" thickBot="1" x14ac:dyDescent="0.25">
      <c r="A35" s="36" t="str">
        <f t="shared" si="0"/>
        <v>IBVS 5592 </v>
      </c>
      <c r="B35" s="2" t="str">
        <f t="shared" si="1"/>
        <v>I</v>
      </c>
      <c r="C35" s="36">
        <f t="shared" si="2"/>
        <v>53124.472399999999</v>
      </c>
      <c r="D35" s="14" t="str">
        <f t="shared" si="3"/>
        <v>vis</v>
      </c>
      <c r="E35" s="52">
        <f>VLOOKUP(C35,Active!C$21:E$973,3,FALSE)</f>
        <v>248.99920269218384</v>
      </c>
      <c r="F35" s="2" t="s">
        <v>58</v>
      </c>
      <c r="G35" s="14" t="str">
        <f t="shared" si="4"/>
        <v>53124.4724</v>
      </c>
      <c r="H35" s="36">
        <f t="shared" si="5"/>
        <v>565</v>
      </c>
      <c r="I35" s="53" t="s">
        <v>145</v>
      </c>
      <c r="J35" s="54" t="s">
        <v>146</v>
      </c>
      <c r="K35" s="53">
        <v>565</v>
      </c>
      <c r="L35" s="53" t="s">
        <v>147</v>
      </c>
      <c r="M35" s="54" t="s">
        <v>110</v>
      </c>
      <c r="N35" s="54" t="s">
        <v>142</v>
      </c>
      <c r="O35" s="55" t="s">
        <v>143</v>
      </c>
      <c r="P35" s="56" t="s">
        <v>144</v>
      </c>
    </row>
    <row r="36" spans="1:16" ht="12.75" customHeight="1" thickBot="1" x14ac:dyDescent="0.25">
      <c r="A36" s="36" t="str">
        <f t="shared" si="0"/>
        <v>BAVM 183 </v>
      </c>
      <c r="B36" s="2" t="str">
        <f t="shared" si="1"/>
        <v>II</v>
      </c>
      <c r="C36" s="36">
        <f t="shared" si="2"/>
        <v>54002.466500000002</v>
      </c>
      <c r="D36" s="14" t="str">
        <f t="shared" si="3"/>
        <v>vis</v>
      </c>
      <c r="E36" s="52">
        <f>VLOOKUP(C36,Active!C$21:E$973,3,FALSE)</f>
        <v>1043.4964847783519</v>
      </c>
      <c r="F36" s="2" t="s">
        <v>58</v>
      </c>
      <c r="G36" s="14" t="str">
        <f t="shared" si="4"/>
        <v>54002.4665</v>
      </c>
      <c r="H36" s="36">
        <f t="shared" si="5"/>
        <v>1359.5</v>
      </c>
      <c r="I36" s="53" t="s">
        <v>154</v>
      </c>
      <c r="J36" s="54" t="s">
        <v>155</v>
      </c>
      <c r="K36" s="53">
        <v>1359.5</v>
      </c>
      <c r="L36" s="53" t="s">
        <v>156</v>
      </c>
      <c r="M36" s="54" t="s">
        <v>151</v>
      </c>
      <c r="N36" s="54" t="s">
        <v>157</v>
      </c>
      <c r="O36" s="55" t="s">
        <v>158</v>
      </c>
      <c r="P36" s="56" t="s">
        <v>159</v>
      </c>
    </row>
    <row r="37" spans="1:16" ht="12.75" customHeight="1" thickBot="1" x14ac:dyDescent="0.25">
      <c r="A37" s="36" t="str">
        <f t="shared" si="0"/>
        <v>IBVS 5806 </v>
      </c>
      <c r="B37" s="2" t="str">
        <f t="shared" si="1"/>
        <v>I</v>
      </c>
      <c r="C37" s="36">
        <f t="shared" si="2"/>
        <v>53958.812299999998</v>
      </c>
      <c r="D37" s="14" t="str">
        <f t="shared" si="3"/>
        <v>vis</v>
      </c>
      <c r="E37" s="52">
        <f>VLOOKUP(C37,Active!C$21:E$973,3,FALSE)</f>
        <v>1003.9937782662587</v>
      </c>
      <c r="F37" s="2" t="s">
        <v>58</v>
      </c>
      <c r="G37" s="14" t="str">
        <f t="shared" si="4"/>
        <v>53958.8123</v>
      </c>
      <c r="H37" s="36">
        <f t="shared" si="5"/>
        <v>1320</v>
      </c>
      <c r="I37" s="53" t="s">
        <v>148</v>
      </c>
      <c r="J37" s="54" t="s">
        <v>149</v>
      </c>
      <c r="K37" s="53">
        <v>1320</v>
      </c>
      <c r="L37" s="53" t="s">
        <v>150</v>
      </c>
      <c r="M37" s="54" t="s">
        <v>151</v>
      </c>
      <c r="N37" s="54" t="s">
        <v>152</v>
      </c>
      <c r="O37" s="55" t="s">
        <v>143</v>
      </c>
      <c r="P37" s="56" t="s">
        <v>153</v>
      </c>
    </row>
    <row r="38" spans="1:16" x14ac:dyDescent="0.2">
      <c r="B38" s="2"/>
      <c r="F38" s="2"/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</sheetData>
  <phoneticPr fontId="7" type="noConversion"/>
  <hyperlinks>
    <hyperlink ref="P11" r:id="rId1" display="http://www.konkoly.hu/cgi-bin/IBVS?5018"/>
    <hyperlink ref="P12" r:id="rId2" display="http://www.konkoly.hu/cgi-bin/IBVS?5018"/>
    <hyperlink ref="P13" r:id="rId3" display="http://www.konkoly.hu/cgi-bin/IBVS?5018"/>
    <hyperlink ref="P14" r:id="rId4" display="http://www.konkoly.hu/cgi-bin/IBVS?5018"/>
    <hyperlink ref="P15" r:id="rId5" display="http://www.konkoly.hu/cgi-bin/IBVS?5018"/>
    <hyperlink ref="P16" r:id="rId6" display="http://www.konkoly.hu/cgi-bin/IBVS?5018"/>
    <hyperlink ref="P17" r:id="rId7" display="http://www.konkoly.hu/cgi-bin/IBVS?5018"/>
    <hyperlink ref="P18" r:id="rId8" display="http://www.konkoly.hu/cgi-bin/IBVS?5018"/>
    <hyperlink ref="P19" r:id="rId9" display="http://www.konkoly.hu/cgi-bin/IBVS?5018"/>
    <hyperlink ref="P20" r:id="rId10" display="http://www.konkoly.hu/cgi-bin/IBVS?5018"/>
    <hyperlink ref="P21" r:id="rId11" display="http://www.konkoly.hu/cgi-bin/IBVS?5018"/>
    <hyperlink ref="P22" r:id="rId12" display="http://www.konkoly.hu/cgi-bin/IBVS?5018"/>
    <hyperlink ref="P23" r:id="rId13" display="http://www.konkoly.hu/cgi-bin/IBVS?5018"/>
    <hyperlink ref="P24" r:id="rId14" display="http://www.konkoly.hu/cgi-bin/IBVS?5018"/>
    <hyperlink ref="P25" r:id="rId15" display="http://www.konkoly.hu/cgi-bin/IBVS?5018"/>
    <hyperlink ref="P26" r:id="rId16" display="http://www.konkoly.hu/cgi-bin/IBVS?5018"/>
    <hyperlink ref="P27" r:id="rId17" display="http://www.konkoly.hu/cgi-bin/IBVS?5018"/>
    <hyperlink ref="P28" r:id="rId18" display="http://www.konkoly.hu/cgi-bin/IBVS?5018"/>
    <hyperlink ref="P29" r:id="rId19" display="http://www.konkoly.hu/cgi-bin/IBVS?5018"/>
    <hyperlink ref="P34" r:id="rId20" display="http://www.konkoly.hu/cgi-bin/IBVS?5592"/>
    <hyperlink ref="P35" r:id="rId21" display="http://www.konkoly.hu/cgi-bin/IBVS?5592"/>
    <hyperlink ref="P37" r:id="rId22" display="http://www.konkoly.hu/cgi-bin/IBVS?5806"/>
    <hyperlink ref="P36" r:id="rId23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2024-02-06T03:24:26Z</dcterms:modified>
</cp:coreProperties>
</file>