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E70BB6-BD5B-4BBB-A2F0-78A6AEF341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4" r:id="rId3"/>
    <sheet name="A (3)" sheetId="3" r:id="rId4"/>
  </sheets>
  <calcPr calcId="181029"/>
</workbook>
</file>

<file path=xl/calcChain.xml><?xml version="1.0" encoding="utf-8"?>
<calcChain xmlns="http://schemas.openxmlformats.org/spreadsheetml/2006/main">
  <c r="E21" i="2" l="1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I27" i="2"/>
  <c r="D9" i="2"/>
  <c r="C9" i="2"/>
  <c r="E28" i="2"/>
  <c r="F28" i="2"/>
  <c r="G28" i="2"/>
  <c r="E29" i="2"/>
  <c r="F29" i="2"/>
  <c r="G29" i="2"/>
  <c r="E30" i="2"/>
  <c r="F30" i="2"/>
  <c r="G30" i="2"/>
  <c r="E40" i="2"/>
  <c r="F40" i="2"/>
  <c r="G40" i="2"/>
  <c r="E41" i="2"/>
  <c r="F41" i="2"/>
  <c r="G41" i="2"/>
  <c r="E33" i="2"/>
  <c r="F33" i="2"/>
  <c r="G33" i="2"/>
  <c r="E31" i="2"/>
  <c r="F31" i="2"/>
  <c r="G31" i="2"/>
  <c r="E32" i="2"/>
  <c r="F32" i="2"/>
  <c r="G32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Q21" i="2"/>
  <c r="Q22" i="2"/>
  <c r="Q23" i="2"/>
  <c r="Q24" i="2"/>
  <c r="Q25" i="2"/>
  <c r="Q26" i="2"/>
  <c r="Q27" i="2"/>
  <c r="G24" i="4"/>
  <c r="C24" i="4"/>
  <c r="E24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G11" i="4"/>
  <c r="C11" i="4"/>
  <c r="E11" i="4"/>
  <c r="G31" i="4"/>
  <c r="C31" i="4"/>
  <c r="E31" i="4"/>
  <c r="G30" i="4"/>
  <c r="C30" i="4"/>
  <c r="E30" i="4"/>
  <c r="G29" i="4"/>
  <c r="C29" i="4"/>
  <c r="E29" i="4"/>
  <c r="G28" i="4"/>
  <c r="C28" i="4"/>
  <c r="E28" i="4"/>
  <c r="G27" i="4"/>
  <c r="C27" i="4"/>
  <c r="E27" i="4"/>
  <c r="G26" i="4"/>
  <c r="C26" i="4"/>
  <c r="E26" i="4"/>
  <c r="G25" i="4"/>
  <c r="C25" i="4"/>
  <c r="E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Q36" i="2"/>
  <c r="F11" i="3"/>
  <c r="F33" i="3"/>
  <c r="G33" i="3"/>
  <c r="E21" i="3"/>
  <c r="F21" i="3"/>
  <c r="G21" i="3"/>
  <c r="H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H29" i="3"/>
  <c r="E30" i="3"/>
  <c r="F30" i="3"/>
  <c r="G30" i="3"/>
  <c r="E31" i="3"/>
  <c r="F31" i="3"/>
  <c r="G31" i="3"/>
  <c r="E32" i="3"/>
  <c r="F32" i="3"/>
  <c r="G32" i="3"/>
  <c r="E33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40" i="2"/>
  <c r="Q41" i="2"/>
  <c r="F16" i="2"/>
  <c r="F17" i="2" s="1"/>
  <c r="C17" i="2"/>
  <c r="Q28" i="2"/>
  <c r="K29" i="2"/>
  <c r="Q29" i="2"/>
  <c r="Q30" i="2"/>
  <c r="Q31" i="2"/>
  <c r="Q32" i="2"/>
  <c r="Q33" i="2"/>
  <c r="Q34" i="2"/>
  <c r="J35" i="2"/>
  <c r="Q35" i="2"/>
  <c r="Q37" i="2"/>
  <c r="Q38" i="2"/>
  <c r="Q39" i="2"/>
  <c r="E30" i="1"/>
  <c r="F30" i="1"/>
  <c r="G30" i="1"/>
  <c r="H30" i="1"/>
  <c r="E31" i="1"/>
  <c r="F31" i="1"/>
  <c r="G31" i="1"/>
  <c r="H31" i="1"/>
  <c r="F11" i="1"/>
  <c r="Q30" i="1"/>
  <c r="Q31" i="1"/>
  <c r="E28" i="1"/>
  <c r="F28" i="1"/>
  <c r="G28" i="1"/>
  <c r="H28" i="1"/>
  <c r="E29" i="1"/>
  <c r="F29" i="1"/>
  <c r="G29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Q28" i="1"/>
  <c r="H29" i="1"/>
  <c r="Q29" i="1"/>
  <c r="G11" i="1"/>
  <c r="E14" i="1"/>
  <c r="E15" i="1" s="1"/>
  <c r="C17" i="1"/>
  <c r="Q22" i="1"/>
  <c r="Q23" i="1"/>
  <c r="Q24" i="1"/>
  <c r="Q25" i="1"/>
  <c r="Q26" i="1"/>
  <c r="Q27" i="1"/>
  <c r="E21" i="1"/>
  <c r="F21" i="1"/>
  <c r="G21" i="1"/>
  <c r="H21" i="1"/>
  <c r="Q21" i="1"/>
  <c r="K30" i="2"/>
  <c r="J37" i="2"/>
  <c r="K21" i="2"/>
  <c r="H33" i="3"/>
  <c r="J31" i="2"/>
  <c r="J36" i="2"/>
  <c r="K33" i="2"/>
  <c r="K26" i="2"/>
  <c r="K25" i="2"/>
  <c r="H28" i="3"/>
  <c r="H23" i="3"/>
  <c r="K24" i="2"/>
  <c r="H27" i="3"/>
  <c r="K41" i="2"/>
  <c r="H31" i="3"/>
  <c r="K28" i="2"/>
  <c r="H26" i="3"/>
  <c r="H22" i="3"/>
  <c r="J39" i="2"/>
  <c r="K40" i="2"/>
  <c r="I23" i="2"/>
  <c r="J38" i="2"/>
  <c r="I22" i="2"/>
  <c r="H25" i="3"/>
  <c r="J34" i="2"/>
  <c r="H30" i="3"/>
  <c r="J32" i="2"/>
  <c r="H32" i="3"/>
  <c r="H24" i="3"/>
  <c r="C11" i="2"/>
  <c r="C12" i="2"/>
  <c r="C11" i="3"/>
  <c r="C12" i="3"/>
  <c r="C11" i="1"/>
  <c r="C16" i="3" l="1"/>
  <c r="D18" i="3" s="1"/>
  <c r="O24" i="3"/>
  <c r="R24" i="3" s="1"/>
  <c r="O23" i="3"/>
  <c r="R23" i="3" s="1"/>
  <c r="O33" i="3"/>
  <c r="R33" i="3" s="1"/>
  <c r="O22" i="3"/>
  <c r="R22" i="3" s="1"/>
  <c r="O31" i="3"/>
  <c r="R31" i="3" s="1"/>
  <c r="C15" i="3"/>
  <c r="O30" i="3"/>
  <c r="R30" i="3" s="1"/>
  <c r="O29" i="3"/>
  <c r="R29" i="3" s="1"/>
  <c r="O32" i="3"/>
  <c r="R32" i="3" s="1"/>
  <c r="O27" i="3"/>
  <c r="R27" i="3" s="1"/>
  <c r="O25" i="3"/>
  <c r="R25" i="3" s="1"/>
  <c r="O28" i="3"/>
  <c r="R28" i="3" s="1"/>
  <c r="O21" i="3"/>
  <c r="R21" i="3" s="1"/>
  <c r="O26" i="3"/>
  <c r="R26" i="3" s="1"/>
  <c r="C16" i="2"/>
  <c r="D18" i="2" s="1"/>
  <c r="O27" i="2"/>
  <c r="S27" i="2" s="1"/>
  <c r="O35" i="2"/>
  <c r="S35" i="2" s="1"/>
  <c r="O37" i="2"/>
  <c r="S37" i="2" s="1"/>
  <c r="O23" i="2"/>
  <c r="S23" i="2" s="1"/>
  <c r="O32" i="2"/>
  <c r="S32" i="2" s="1"/>
  <c r="O26" i="2"/>
  <c r="S26" i="2" s="1"/>
  <c r="O21" i="2"/>
  <c r="S21" i="2" s="1"/>
  <c r="O33" i="2"/>
  <c r="S33" i="2" s="1"/>
  <c r="O28" i="2"/>
  <c r="S28" i="2" s="1"/>
  <c r="O24" i="2"/>
  <c r="S24" i="2" s="1"/>
  <c r="O31" i="2"/>
  <c r="S31" i="2" s="1"/>
  <c r="O38" i="2"/>
  <c r="S38" i="2" s="1"/>
  <c r="O36" i="2"/>
  <c r="S36" i="2" s="1"/>
  <c r="O29" i="2"/>
  <c r="S29" i="2" s="1"/>
  <c r="O39" i="2"/>
  <c r="S39" i="2" s="1"/>
  <c r="O22" i="2"/>
  <c r="S22" i="2" s="1"/>
  <c r="O40" i="2"/>
  <c r="S40" i="2" s="1"/>
  <c r="O41" i="2"/>
  <c r="S41" i="2" s="1"/>
  <c r="O34" i="2"/>
  <c r="S34" i="2" s="1"/>
  <c r="C15" i="2"/>
  <c r="O25" i="2"/>
  <c r="S25" i="2" s="1"/>
  <c r="O30" i="2"/>
  <c r="S30" i="2" s="1"/>
  <c r="C12" i="1"/>
  <c r="C16" i="1" l="1"/>
  <c r="D18" i="1" s="1"/>
  <c r="O26" i="1"/>
  <c r="O28" i="1"/>
  <c r="O25" i="1"/>
  <c r="O23" i="1"/>
  <c r="O21" i="1"/>
  <c r="O22" i="1"/>
  <c r="O31" i="1"/>
  <c r="O30" i="1"/>
  <c r="O24" i="1"/>
  <c r="C15" i="1"/>
  <c r="O29" i="1"/>
  <c r="O27" i="1"/>
  <c r="E16" i="3"/>
  <c r="E17" i="3" s="1"/>
  <c r="C18" i="3"/>
  <c r="R18" i="3"/>
  <c r="F18" i="2"/>
  <c r="F19" i="2" s="1"/>
  <c r="C18" i="2"/>
  <c r="S18" i="2"/>
  <c r="E16" i="1" l="1"/>
  <c r="E17" i="1" s="1"/>
  <c r="C18" i="1"/>
</calcChain>
</file>

<file path=xl/sharedStrings.xml><?xml version="1.0" encoding="utf-8"?>
<sst xmlns="http://schemas.openxmlformats.org/spreadsheetml/2006/main" count="421" uniqueCount="165">
  <si>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</si>
  <si>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</si>
  <si>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</si>
  <si>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</si>
  <si>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</si>
  <si>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</si>
  <si>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</si>
  <si>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</si>
  <si>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</si>
  <si>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</si>
  <si>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</si>
  <si>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</si>
  <si>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</si>
  <si>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</si>
  <si>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</si>
  <si>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</si>
  <si>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</si>
  <si>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</si>
  <si>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</si>
  <si>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</si>
  <si>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</si>
  <si>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</si>
  <si>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</si>
  <si>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</si>
  <si>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</si>
  <si>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</si>
  <si>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</si>
  <si>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</si>
  <si>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</si>
  <si>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</si>
  <si>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</si>
  <si>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</si>
  <si>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</si>
  <si>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</si>
  <si>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</si>
  <si>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</si>
  <si>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</si>
  <si>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</si>
  <si>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</si>
  <si>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V2294 Cyg / GSC 03564-03059</t>
  </si>
  <si>
    <t>EW</t>
  </si>
  <si>
    <t>IBVS 5543</t>
  </si>
  <si>
    <t>II</t>
  </si>
  <si>
    <t>IBVS 5653</t>
  </si>
  <si>
    <t>I</t>
  </si>
  <si>
    <t>IBVS 5713</t>
  </si>
  <si>
    <t>IBVS 5781</t>
  </si>
  <si>
    <t>IBVS 5761</t>
  </si>
  <si>
    <t>Add cycle</t>
  </si>
  <si>
    <t>Old Cycle</t>
  </si>
  <si>
    <t>Start of linear fit &gt;&gt;&gt;&gt;&gt;&gt;&gt;&gt;&gt;&gt;&gt;&gt;&gt;&gt;&gt;&gt;&gt;&gt;&gt;&gt;&gt;</t>
  </si>
  <si>
    <t>IBVS 5837</t>
  </si>
  <si>
    <t>IBVS 6010</t>
  </si>
  <si>
    <t>IBVS 6070</t>
  </si>
  <si>
    <t>Period by ToMcat 2014-01-10</t>
  </si>
  <si>
    <t>IBVS 6125</t>
  </si>
  <si>
    <r>
      <t>diff</t>
    </r>
    <r>
      <rPr>
        <b/>
        <vertAlign val="superscript"/>
        <sz val="10"/>
        <rFont val="Arial"/>
        <family val="2"/>
      </rPr>
      <t>2</t>
    </r>
  </si>
  <si>
    <t>VSX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</si>
  <si>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</si>
  <si>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</si>
  <si>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</si>
  <si>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</si>
  <si>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</si>
  <si>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</si>
  <si>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</si>
  <si>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</si>
  <si>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</si>
  <si>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</si>
  <si>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</si>
  <si>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</si>
  <si>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2451766.3434 </t>
  </si>
  <si>
    <t> 09.08.2000 20:14 </t>
  </si>
  <si>
    <t> 0.0003 </t>
  </si>
  <si>
    <t>E </t>
  </si>
  <si>
    <t>?</t>
  </si>
  <si>
    <t> E.Blättler </t>
  </si>
  <si>
    <t> BBS 123 </t>
  </si>
  <si>
    <t>2451766.5180 </t>
  </si>
  <si>
    <t> 10.08.2000 00:25 </t>
  </si>
  <si>
    <t> -0.0023 </t>
  </si>
  <si>
    <t>2451771.4790 </t>
  </si>
  <si>
    <t> 14.08.2000 23:29 </t>
  </si>
  <si>
    <t> -0.0043 </t>
  </si>
  <si>
    <t>2451781.4048 </t>
  </si>
  <si>
    <t> 24.08.2000 21:42 </t>
  </si>
  <si>
    <t> -0.0044 </t>
  </si>
  <si>
    <t>2451781.5852 </t>
  </si>
  <si>
    <t> 25.08.2000 02:02 </t>
  </si>
  <si>
    <t> -0.0013 </t>
  </si>
  <si>
    <t>2452112.4986 </t>
  </si>
  <si>
    <t> 21.07.2001 23:57 </t>
  </si>
  <si>
    <t> -0.0122 </t>
  </si>
  <si>
    <t> BBS 126 </t>
  </si>
  <si>
    <t>2452443.430 </t>
  </si>
  <si>
    <t> 17.06.2002 22:19 </t>
  </si>
  <si>
    <t> -0.005 </t>
  </si>
  <si>
    <t> BBS 128 </t>
  </si>
  <si>
    <t>2452820.4443 </t>
  </si>
  <si>
    <t> 29.06.2003 22:39 </t>
  </si>
  <si>
    <t> 0.0002 </t>
  </si>
  <si>
    <t> BBS 130 </t>
  </si>
  <si>
    <t>2453233.443 </t>
  </si>
  <si>
    <t> 15.08.2004 22:37 </t>
  </si>
  <si>
    <t> 0.008 </t>
  </si>
  <si>
    <t>IBVS 5653 </t>
  </si>
  <si>
    <t>2453251.3485 </t>
  </si>
  <si>
    <t> 02.09.2004 20:21 </t>
  </si>
  <si>
    <t> 0.0116 </t>
  </si>
  <si>
    <t>2453652.284 </t>
  </si>
  <si>
    <t> 08.10.2005 18:48 </t>
  </si>
  <si>
    <t> 0.009 </t>
  </si>
  <si>
    <t>IBVS 5713 </t>
  </si>
  <si>
    <t>2453652.4555 </t>
  </si>
  <si>
    <t> 08.10.2005 22:55 </t>
  </si>
  <si>
    <t> 0.0037 </t>
  </si>
  <si>
    <t>2454019.3626 </t>
  </si>
  <si>
    <t> 10.10.2006 20:42 </t>
  </si>
  <si>
    <t> 0.0050 </t>
  </si>
  <si>
    <t>C </t>
  </si>
  <si>
    <t>R</t>
  </si>
  <si>
    <t> BBS 133 (=IBVS 5781) </t>
  </si>
  <si>
    <t>2454020.4244 </t>
  </si>
  <si>
    <t> 11.10.2006 22:11 </t>
  </si>
  <si>
    <t> 0.0033 </t>
  </si>
  <si>
    <t>-I</t>
  </si>
  <si>
    <t> F.Agerer </t>
  </si>
  <si>
    <t>BAVM 183 </t>
  </si>
  <si>
    <t>2454407.3468 </t>
  </si>
  <si>
    <t> 02.11.2007 20:19 </t>
  </si>
  <si>
    <t>5379.5</t>
  </si>
  <si>
    <t> -0.0093 </t>
  </si>
  <si>
    <t>IBVS 5837 </t>
  </si>
  <si>
    <t>2455418.5491 </t>
  </si>
  <si>
    <t> 10.08.2010 01:10 </t>
  </si>
  <si>
    <t>8232</t>
  </si>
  <si>
    <t> -0.0137 </t>
  </si>
  <si>
    <t>BAVM 215 </t>
  </si>
  <si>
    <t>2455687.4421 </t>
  </si>
  <si>
    <t> 05.05.2011 22:36 </t>
  </si>
  <si>
    <t>8990.5</t>
  </si>
  <si>
    <t> -0.0078 </t>
  </si>
  <si>
    <t>BAVM 220 </t>
  </si>
  <si>
    <t>2456186.4070 </t>
  </si>
  <si>
    <t> 15.09.2012 21:46 </t>
  </si>
  <si>
    <t>10398</t>
  </si>
  <si>
    <t> 0.0006 </t>
  </si>
  <si>
    <t>o</t>
  </si>
  <si>
    <t> U.Schmidt </t>
  </si>
  <si>
    <t>BAVM 231 </t>
  </si>
  <si>
    <t>2456186.5874 </t>
  </si>
  <si>
    <t> 16.09.2012 02:05 </t>
  </si>
  <si>
    <t>10398.5</t>
  </si>
  <si>
    <t> 0.0038 </t>
  </si>
  <si>
    <t>2456483.2961 </t>
  </si>
  <si>
    <t> 09.07.2013 19:06 </t>
  </si>
  <si>
    <t>11235.5</t>
  </si>
  <si>
    <t> -0.0027 </t>
  </si>
  <si>
    <t>m</t>
  </si>
  <si>
    <t> O.Karadeniz </t>
  </si>
  <si>
    <t>IBVS 6125 </t>
  </si>
  <si>
    <t>2456499.4310 </t>
  </si>
  <si>
    <t> 25.07.2013 22:20 </t>
  </si>
  <si>
    <t>11281</t>
  </si>
  <si>
    <t> 0.0025 </t>
  </si>
  <si>
    <t> R.Orhan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</si>
</sst>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5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V2294 Cyg - O-C Diagr.</a:t>
            </a:r>
          </a:p>
        </c:rich>
      </c:tx>
      <c:layout>
        <c:manualLayout>
          <c:xMode val="edge"/>
          <c:yMode val="edge"/>
          <c:x val="0.377593941836108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633900676841"/>
          <c:y val="0.14634168126798494"/>
          <c:w val="0.8229610009306396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Active!$D$21:$D$109</c:f>
                <c:numCache>
                  <c:formatCode>General</c:formatCode>
                  <c:ptCount val="8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Active!$D$21:$D$109</c:f>
                <c:numCache>
                  <c:formatCode>General</c:formatCode>
                  <c:ptCount val="8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2-4190-B186-B0B3775A2F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2.1160000032978132E-3</c:v>
                </c:pt>
                <c:pt idx="2">
                  <c:v>1.4400000509340316E-4</c:v>
                </c:pt>
                <c:pt idx="6">
                  <c:v>1.8500000442145392E-4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2-4190-B186-B0B3775A2F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0">
                  <c:v>1.6005000004952308E-2</c:v>
                </c:pt>
                <c:pt idx="11">
                  <c:v>1.025600000139093E-2</c:v>
                </c:pt>
                <c:pt idx="13">
                  <c:v>1.0232000007817987E-2</c:v>
                </c:pt>
                <c:pt idx="14">
                  <c:v>-1.9350000002305023E-3</c:v>
                </c:pt>
                <c:pt idx="15">
                  <c:v>-5.1800000001094304E-3</c:v>
                </c:pt>
                <c:pt idx="16">
                  <c:v>1.0870000041904859E-3</c:v>
                </c:pt>
                <c:pt idx="17">
                  <c:v>1.0052000005089212E-2</c:v>
                </c:pt>
                <c:pt idx="18">
                  <c:v>1.320300000224961E-2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2-4190-B186-B0B3775A2F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4.7649999978602864E-3</c:v>
                </c:pt>
                <c:pt idx="3">
                  <c:v>0</c:v>
                </c:pt>
                <c:pt idx="4">
                  <c:v>3.1510000044363551E-3</c:v>
                </c:pt>
                <c:pt idx="5">
                  <c:v>-7.3320000010426156E-3</c:v>
                </c:pt>
                <c:pt idx="7">
                  <c:v>5.8620000054361299E-3</c:v>
                </c:pt>
                <c:pt idx="8">
                  <c:v>1.4392000004590955E-2</c:v>
                </c:pt>
                <c:pt idx="9">
                  <c:v>1.7743000003974885E-2</c:v>
                </c:pt>
                <c:pt idx="12">
                  <c:v>1.1926000006496906E-2</c:v>
                </c:pt>
                <c:pt idx="19">
                  <c:v>7.0770000020274892E-3</c:v>
                </c:pt>
                <c:pt idx="20">
                  <c:v>1.2318000000959728E-2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2-4190-B186-B0B3775A2F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2-4190-B186-B0B3775A2F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2-4190-B186-B0B3775A2F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4.0000000000000001E-3</c:v>
                  </c:pt>
                  <c:pt idx="9">
                    <c:v>1.4E-3</c:v>
                  </c:pt>
                  <c:pt idx="10">
                    <c:v>8.0000000000000002E-3</c:v>
                  </c:pt>
                  <c:pt idx="11">
                    <c:v>2.2000000000000001E-3</c:v>
                  </c:pt>
                  <c:pt idx="12">
                    <c:v>1.1000000000000001E-3</c:v>
                  </c:pt>
                  <c:pt idx="13">
                    <c:v>8.0000000000000004E-4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6">
                    <c:v>2.8999999999999998E-3</c:v>
                  </c:pt>
                  <c:pt idx="17">
                    <c:v>1.5E-3</c:v>
                  </c:pt>
                  <c:pt idx="18">
                    <c:v>2.2000000000000001E-3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2-4190-B186-B0B3775A2F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-42.5</c:v>
                </c:pt>
                <c:pt idx="1">
                  <c:v>-42</c:v>
                </c:pt>
                <c:pt idx="2">
                  <c:v>-28</c:v>
                </c:pt>
                <c:pt idx="3">
                  <c:v>0</c:v>
                </c:pt>
                <c:pt idx="4">
                  <c:v>0.5</c:v>
                </c:pt>
                <c:pt idx="5">
                  <c:v>934</c:v>
                </c:pt>
                <c:pt idx="6">
                  <c:v>1867.5</c:v>
                </c:pt>
                <c:pt idx="7">
                  <c:v>2931</c:v>
                </c:pt>
                <c:pt idx="8">
                  <c:v>4096</c:v>
                </c:pt>
                <c:pt idx="9">
                  <c:v>4146.5</c:v>
                </c:pt>
                <c:pt idx="10">
                  <c:v>5277.5</c:v>
                </c:pt>
                <c:pt idx="11">
                  <c:v>5278</c:v>
                </c:pt>
                <c:pt idx="12">
                  <c:v>6313</c:v>
                </c:pt>
                <c:pt idx="13">
                  <c:v>6316</c:v>
                </c:pt>
                <c:pt idx="14">
                  <c:v>7407.5</c:v>
                </c:pt>
                <c:pt idx="15">
                  <c:v>10260</c:v>
                </c:pt>
                <c:pt idx="16">
                  <c:v>11018.5</c:v>
                </c:pt>
                <c:pt idx="17">
                  <c:v>12426</c:v>
                </c:pt>
                <c:pt idx="18">
                  <c:v>12426.5</c:v>
                </c:pt>
                <c:pt idx="19">
                  <c:v>13263.5</c:v>
                </c:pt>
                <c:pt idx="20">
                  <c:v>13309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3.5105519544241393E-3</c:v>
                </c:pt>
                <c:pt idx="1">
                  <c:v>3.5107736611823203E-3</c:v>
                </c:pt>
                <c:pt idx="2">
                  <c:v>3.516981450411382E-3</c:v>
                </c:pt>
                <c:pt idx="3">
                  <c:v>3.529397028869505E-3</c:v>
                </c:pt>
                <c:pt idx="4">
                  <c:v>3.5296187356276859E-3</c:v>
                </c:pt>
                <c:pt idx="5">
                  <c:v>3.9435452531511855E-3</c:v>
                </c:pt>
                <c:pt idx="6">
                  <c:v>4.3574717706746854E-3</c:v>
                </c:pt>
                <c:pt idx="7">
                  <c:v>4.8290420453251858E-3</c:v>
                </c:pt>
                <c:pt idx="8">
                  <c:v>5.3456187918863828E-3</c:v>
                </c:pt>
                <c:pt idx="9">
                  <c:v>5.3680111744626412E-3</c:v>
                </c:pt>
                <c:pt idx="10">
                  <c:v>5.8695118614675457E-3</c:v>
                </c:pt>
                <c:pt idx="11">
                  <c:v>5.8697335682257263E-3</c:v>
                </c:pt>
                <c:pt idx="12">
                  <c:v>6.3286665576599227E-3</c:v>
                </c:pt>
                <c:pt idx="13">
                  <c:v>6.3299967982090068E-3</c:v>
                </c:pt>
                <c:pt idx="14">
                  <c:v>6.8139826513176315E-3</c:v>
                </c:pt>
                <c:pt idx="15">
                  <c:v>8.0788197067389305E-3</c:v>
                </c:pt>
                <c:pt idx="16">
                  <c:v>8.4151488588991609E-3</c:v>
                </c:pt>
                <c:pt idx="17">
                  <c:v>9.0392533831780315E-3</c:v>
                </c:pt>
                <c:pt idx="18">
                  <c:v>9.0394750899362129E-3</c:v>
                </c:pt>
                <c:pt idx="19">
                  <c:v>9.4106122031308234E-3</c:v>
                </c:pt>
                <c:pt idx="20">
                  <c:v>9.4307875181252748E-3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2-4190-B186-B0B3775A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508120"/>
        <c:axId val="1"/>
      </c:scatterChart>
      <c:valAx>
        <c:axId val="878508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548062716226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09405255878286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508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662560852092655"/>
          <c:y val="0.92073298764483702"/>
          <c:w val="0.57814733739195467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V2294 Cyg - O-C Diagr.</a:t>
            </a:r>
          </a:p>
        </c:rich>
      </c:tx>
      <c:layout>
        <c:manualLayout>
          <c:xMode val="edge"/>
          <c:yMode val="edge"/>
          <c:x val="0.3639148546798622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78942920199375"/>
          <c:w val="0.8165149807001694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(old)'!$D$21:$D$109</c:f>
                <c:numCache>
                  <c:formatCode>General</c:formatCode>
                  <c:ptCount val="89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(old)'!$D$21:$D$109</c:f>
                <c:numCache>
                  <c:formatCode>General</c:formatCode>
                  <c:ptCount val="89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5.5980000004637986E-2</c:v>
                </c:pt>
                <c:pt idx="1">
                  <c:v>4.8099999999976717E-2</c:v>
                </c:pt>
                <c:pt idx="2">
                  <c:v>5.8420000001206063E-2</c:v>
                </c:pt>
                <c:pt idx="3">
                  <c:v>3.5580000003392342E-2</c:v>
                </c:pt>
                <c:pt idx="4">
                  <c:v>2.9900000001362059E-2</c:v>
                </c:pt>
                <c:pt idx="5">
                  <c:v>-2.7799999952549115E-3</c:v>
                </c:pt>
                <c:pt idx="6">
                  <c:v>-4.0599999920232221E-3</c:v>
                </c:pt>
                <c:pt idx="7">
                  <c:v>-4.2779999996128026E-2</c:v>
                </c:pt>
                <c:pt idx="8">
                  <c:v>-7.2979999997187406E-2</c:v>
                </c:pt>
                <c:pt idx="9">
                  <c:v>-4.6959999999671709E-2</c:v>
                </c:pt>
                <c:pt idx="10">
                  <c:v>-4.3740000000980217E-2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2-4456-8E1E-5DC70FDB7F1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32-4456-8E1E-5DC70FDB7F1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32-4456-8E1E-5DC70FDB7F1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32-4456-8E1E-5DC70FDB7F1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32-4456-8E1E-5DC70FDB7F1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32-4456-8E1E-5DC70FDB7F1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32-4456-8E1E-5DC70FDB7F1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2932</c:v>
                </c:pt>
                <c:pt idx="1">
                  <c:v>4097.5</c:v>
                </c:pt>
                <c:pt idx="2">
                  <c:v>4148</c:v>
                </c:pt>
                <c:pt idx="3">
                  <c:v>5279.5</c:v>
                </c:pt>
                <c:pt idx="4">
                  <c:v>5280</c:v>
                </c:pt>
                <c:pt idx="5">
                  <c:v>6315.5</c:v>
                </c:pt>
                <c:pt idx="6">
                  <c:v>6318.5</c:v>
                </c:pt>
                <c:pt idx="7">
                  <c:v>7410.5</c:v>
                </c:pt>
                <c:pt idx="8">
                  <c:v>11023</c:v>
                </c:pt>
                <c:pt idx="9">
                  <c:v>12431</c:v>
                </c:pt>
                <c:pt idx="10">
                  <c:v>12431.5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5.3147975292615543E-2</c:v>
                </c:pt>
                <c:pt idx="1">
                  <c:v>3.8521220317281543E-2</c:v>
                </c:pt>
                <c:pt idx="2">
                  <c:v>3.7887457017191997E-2</c:v>
                </c:pt>
                <c:pt idx="3">
                  <c:v>2.3687394164690553E-2</c:v>
                </c:pt>
                <c:pt idx="4">
                  <c:v>2.3681119280531251E-2</c:v>
                </c:pt>
                <c:pt idx="5">
                  <c:v>1.0685834186615895E-2</c:v>
                </c:pt>
                <c:pt idx="6">
                  <c:v>1.0648184881660069E-2</c:v>
                </c:pt>
                <c:pt idx="7">
                  <c:v>-3.05616212225647E-3</c:v>
                </c:pt>
                <c:pt idx="8">
                  <c:v>-4.8392200173216632E-2</c:v>
                </c:pt>
                <c:pt idx="9">
                  <c:v>-6.6062273965812324E-2</c:v>
                </c:pt>
                <c:pt idx="10">
                  <c:v>-6.6068548849971626E-2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32-4456-8E1E-5DC70FDB7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677040"/>
        <c:axId val="1"/>
      </c:scatterChart>
      <c:valAx>
        <c:axId val="57167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65634456243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67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171285928708451"/>
          <c:y val="0.9204921861831491"/>
          <c:w val="0.90672911298931669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V2294 Cyg - O-C Diagr.</a:t>
            </a:r>
          </a:p>
        </c:rich>
      </c:tx>
      <c:layout>
        <c:manualLayout>
          <c:xMode val="edge"/>
          <c:yMode val="edge"/>
          <c:x val="0.3639148546798622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6961303279853"/>
          <c:y val="0.14678942920199375"/>
          <c:w val="0.8226311977840659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(3)'!$D$21:$D$109</c:f>
                <c:numCache>
                  <c:formatCode>General</c:formatCode>
                  <c:ptCount val="89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(3)'!$D$21:$D$109</c:f>
                <c:numCache>
                  <c:formatCode>General</c:formatCode>
                  <c:ptCount val="89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(3)'!$H$21:$H$998</c:f>
              <c:numCache>
                <c:formatCode>General</c:formatCode>
                <c:ptCount val="978"/>
                <c:pt idx="0">
                  <c:v>2.3448000007192604E-2</c:v>
                </c:pt>
                <c:pt idx="1">
                  <c:v>3.896800000075018E-2</c:v>
                </c:pt>
                <c:pt idx="2">
                  <c:v>4.2622000000847038E-2</c:v>
                </c:pt>
                <c:pt idx="3">
                  <c:v>4.7669999999925494E-2</c:v>
                </c:pt>
                <c:pt idx="4">
                  <c:v>4.1923999997379724E-2</c:v>
                </c:pt>
                <c:pt idx="5">
                  <c:v>4.9804000002040993E-2</c:v>
                </c:pt>
                <c:pt idx="6">
                  <c:v>4.8128000009455718E-2</c:v>
                </c:pt>
                <c:pt idx="7">
                  <c:v>4.2509999999310821E-2</c:v>
                </c:pt>
                <c:pt idx="8">
                  <c:v>6.7198000004282221E-2</c:v>
                </c:pt>
                <c:pt idx="9">
                  <c:v>8.4608000004664063E-2</c:v>
                </c:pt>
                <c:pt idx="10">
                  <c:v>8.7762000002840068E-2</c:v>
                </c:pt>
                <c:pt idx="11">
                  <c:v>8.6658000000170432E-2</c:v>
                </c:pt>
                <c:pt idx="12">
                  <c:v>9.2172000004211441E-2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4C-4DB9-B050-28B55B8B9E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4C-4DB9-B050-28B55B8B9EA1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4C-4DB9-B050-28B55B8B9EA1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4C-4DB9-B050-28B55B8B9EA1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4C-4DB9-B050-28B55B8B9E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4C-4DB9-B050-28B55B8B9E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'A (3)'!$D$21:$D$998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4.0000000000000001E-3</c:v>
                  </c:pt>
                  <c:pt idx="2">
                    <c:v>1.4E-3</c:v>
                  </c:pt>
                  <c:pt idx="3">
                    <c:v>8.0000000000000002E-3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8.0000000000000004E-4</c:v>
                  </c:pt>
                  <c:pt idx="7">
                    <c:v>5.0000000000000001E-4</c:v>
                  </c:pt>
                  <c:pt idx="8">
                    <c:v>2.8999999999999998E-3</c:v>
                  </c:pt>
                  <c:pt idx="9">
                    <c:v>1.5E-3</c:v>
                  </c:pt>
                  <c:pt idx="10">
                    <c:v>2.2000000000000001E-3</c:v>
                  </c:pt>
                  <c:pt idx="11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4C-4DB9-B050-28B55B8B9E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(3)'!$F$21:$F$998</c:f>
              <c:numCache>
                <c:formatCode>General</c:formatCode>
                <c:ptCount val="978"/>
                <c:pt idx="0">
                  <c:v>2931</c:v>
                </c:pt>
                <c:pt idx="1">
                  <c:v>4096</c:v>
                </c:pt>
                <c:pt idx="2">
                  <c:v>4146.5</c:v>
                </c:pt>
                <c:pt idx="3">
                  <c:v>5277.5</c:v>
                </c:pt>
                <c:pt idx="4">
                  <c:v>5278</c:v>
                </c:pt>
                <c:pt idx="5">
                  <c:v>6313</c:v>
                </c:pt>
                <c:pt idx="6">
                  <c:v>6316</c:v>
                </c:pt>
                <c:pt idx="7">
                  <c:v>7407.5</c:v>
                </c:pt>
                <c:pt idx="8">
                  <c:v>11018.5</c:v>
                </c:pt>
                <c:pt idx="9">
                  <c:v>12426</c:v>
                </c:pt>
                <c:pt idx="10">
                  <c:v>12426.5</c:v>
                </c:pt>
                <c:pt idx="11">
                  <c:v>13263.5</c:v>
                </c:pt>
                <c:pt idx="12">
                  <c:v>13309</c:v>
                </c:pt>
              </c:numCache>
            </c:numRef>
          </c:xVal>
          <c:yVal>
            <c:numRef>
              <c:f>'A (3)'!$O$21:$O$998</c:f>
              <c:numCache>
                <c:formatCode>General</c:formatCode>
                <c:ptCount val="978"/>
                <c:pt idx="0">
                  <c:v>2.9000374707480979E-2</c:v>
                </c:pt>
                <c:pt idx="1">
                  <c:v>3.5634934431163071E-2</c:v>
                </c:pt>
                <c:pt idx="2">
                  <c:v>3.5922526934206798E-2</c:v>
                </c:pt>
                <c:pt idx="3">
                  <c:v>4.2363460022176273E-2</c:v>
                </c:pt>
                <c:pt idx="4">
                  <c:v>4.236630747270146E-2</c:v>
                </c:pt>
                <c:pt idx="5">
                  <c:v>4.8260530059835327E-2</c:v>
                </c:pt>
                <c:pt idx="6">
                  <c:v>4.8277614762986441E-2</c:v>
                </c:pt>
                <c:pt idx="7">
                  <c:v>5.4493599259466272E-2</c:v>
                </c:pt>
                <c:pt idx="8">
                  <c:v>7.5057886952355546E-2</c:v>
                </c:pt>
                <c:pt idx="9">
                  <c:v>8.3073460180752567E-2</c:v>
                </c:pt>
                <c:pt idx="10">
                  <c:v>8.3076307631277768E-2</c:v>
                </c:pt>
                <c:pt idx="11">
                  <c:v>8.7842939810438198E-2</c:v>
                </c:pt>
                <c:pt idx="12">
                  <c:v>8.8102057808230078E-2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4C-4DB9-B050-28B55B8B9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678840"/>
        <c:axId val="1"/>
      </c:scatterChart>
      <c:valAx>
        <c:axId val="571678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4075304807083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678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865475531154935"/>
          <c:y val="0.9204921861831491"/>
          <c:w val="0.9036710090137815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352425</xdr:colOff>
      <xdr:row>18</xdr:row>
      <xdr:rowOff>85724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60899E3-0FD4-9CEA-A9A5-E38A40646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B0CDCC-91D2-6A09-DCC7-0A9F5CB41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6234889D-B631-101D-0D8C-204ED773A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konkoly.hu/cgi-bin/IBVS?6125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konkoly.hu/cgi-bin/IBVS?5837" TargetMode="External"/><Relationship Id="rId11" Type="http://schemas.openxmlformats.org/officeDocument/2006/relationships/hyperlink" Target="http://www.konkoly.hu/cgi-bin/IBVS?6125" TargetMode="External"/><Relationship Id="rId5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5713" TargetMode="External"/><Relationship Id="rId9" Type="http://schemas.openxmlformats.org/officeDocument/2006/relationships/hyperlink" Target="http://www.bav-astro.de/sfs/BAVM_link.php?BAVMnr=23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: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39</v>
      </c>
    </row>
    <row r="2" spans="1:6" x14ac:dyDescent="0.2">
      <c r="A2" t="s">
        <v>25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31</v>
      </c>
      <c r="D4" s="9" t="s">
        <v>31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>
        <v>51781.404799999997</v>
      </c>
    </row>
    <row r="8" spans="1:6" x14ac:dyDescent="0.2">
      <c r="A8" t="s">
        <v>3</v>
      </c>
      <c r="C8">
        <v>0.35449799999999998</v>
      </c>
      <c r="D8" s="39" t="s">
        <v>54</v>
      </c>
    </row>
    <row r="9" spans="1:6" x14ac:dyDescent="0.2">
      <c r="A9" s="33" t="s">
        <v>50</v>
      </c>
      <c r="B9" s="34">
        <v>21</v>
      </c>
      <c r="C9" s="31" t="str">
        <f>"F"&amp;B9</f>
        <v>F21</v>
      </c>
      <c r="D9" s="32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16</v>
      </c>
      <c r="B11" s="12"/>
      <c r="C11" s="30">
        <f ca="1">INTERCEPT(INDIRECT($D$9):G992,INDIRECT($C$9):F992)</f>
        <v>3.529397028869505E-3</v>
      </c>
      <c r="D11" s="3"/>
      <c r="E11" s="12"/>
    </row>
    <row r="12" spans="1:6" x14ac:dyDescent="0.2">
      <c r="A12" s="12" t="s">
        <v>17</v>
      </c>
      <c r="B12" s="12"/>
      <c r="C12" s="30">
        <f ca="1">SLOPE(INDIRECT($D$9):G992,INDIRECT($C$9):F992)</f>
        <v>4.4341351636154248E-7</v>
      </c>
      <c r="D12" s="3"/>
      <c r="E12" s="12"/>
    </row>
    <row r="13" spans="1:6" x14ac:dyDescent="0.2">
      <c r="A13" s="12" t="s">
        <v>20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56499.428112787515</v>
      </c>
      <c r="E15" s="16" t="s">
        <v>48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0.35449844341351633</v>
      </c>
      <c r="E16" s="16" t="s">
        <v>35</v>
      </c>
      <c r="F16" s="17">
        <f ca="1">NOW()+15018.5+$C$5/24</f>
        <v>60346.684834027772</v>
      </c>
    </row>
    <row r="17" spans="1:19" ht="13.5" thickBot="1" x14ac:dyDescent="0.25">
      <c r="A17" s="16" t="s">
        <v>32</v>
      </c>
      <c r="B17" s="12"/>
      <c r="C17" s="12">
        <f>COUNT(C21:C2191)</f>
        <v>21</v>
      </c>
      <c r="E17" s="16" t="s">
        <v>49</v>
      </c>
      <c r="F17" s="17">
        <f ca="1">ROUND(2*(F16-$C$7)/$C$8,0)/2+F15</f>
        <v>24162.5</v>
      </c>
    </row>
    <row r="18" spans="1:19" ht="14.25" thickTop="1" thickBot="1" x14ac:dyDescent="0.25">
      <c r="A18" s="18" t="s">
        <v>5</v>
      </c>
      <c r="B18" s="12"/>
      <c r="C18" s="21">
        <f ca="1">+C15</f>
        <v>56499.428112787515</v>
      </c>
      <c r="D18" s="22">
        <f ca="1">+C16</f>
        <v>0.35449844341351633</v>
      </c>
      <c r="E18" s="16" t="s">
        <v>36</v>
      </c>
      <c r="F18" s="32">
        <f ca="1">ROUND(2*(F16-$C$15)/$C$16,0)/2+F15</f>
        <v>10853.5</v>
      </c>
      <c r="S18">
        <f ca="1">SQRT(SUM(S21:S33))</f>
        <v>2.3693573660843317E-2</v>
      </c>
    </row>
    <row r="19" spans="1:19" ht="13.5" thickTop="1" x14ac:dyDescent="0.2">
      <c r="E19" s="16" t="s">
        <v>37</v>
      </c>
      <c r="F19" s="20">
        <f ca="1">+$C$15+$C$16*F18-15018.5-$C$5/24</f>
        <v>45328.872801709447</v>
      </c>
    </row>
    <row r="20" spans="1:19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66</v>
      </c>
      <c r="I20" s="7" t="s">
        <v>69</v>
      </c>
      <c r="J20" s="7" t="s">
        <v>63</v>
      </c>
      <c r="K20" s="7" t="s">
        <v>61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  <c r="R20" s="4"/>
      <c r="S20" s="45" t="s">
        <v>56</v>
      </c>
    </row>
    <row r="21" spans="1:19" x14ac:dyDescent="0.2">
      <c r="A21" s="60" t="s">
        <v>76</v>
      </c>
      <c r="B21" s="62" t="s">
        <v>42</v>
      </c>
      <c r="C21" s="61">
        <v>51766.343399999998</v>
      </c>
      <c r="D21" s="61" t="s">
        <v>69</v>
      </c>
      <c r="E21">
        <f t="shared" ref="E21:E41" si="0">+(C21-C$7)/C$8</f>
        <v>-42.486558457307758</v>
      </c>
      <c r="F21">
        <f t="shared" ref="F21:F41" si="1">ROUND(2*E21,0)/2</f>
        <v>-42.5</v>
      </c>
      <c r="G21">
        <f t="shared" ref="G21:G41" si="2">+C21-(C$7+F21*C$8)</f>
        <v>4.7649999978602864E-3</v>
      </c>
      <c r="K21">
        <f>+G21</f>
        <v>4.7649999978602864E-3</v>
      </c>
      <c r="O21">
        <f t="shared" ref="O21:O41" ca="1" si="3">+C$11+C$12*$F21</f>
        <v>3.5105519544241393E-3</v>
      </c>
      <c r="Q21" s="2">
        <f t="shared" ref="Q21:Q41" si="4">+C21-15018.5</f>
        <v>36747.843399999998</v>
      </c>
      <c r="R21" s="2"/>
      <c r="S21">
        <f t="shared" ref="S21:S41" ca="1" si="5">(G21-O21)^2</f>
        <v>1.5736398936807776E-6</v>
      </c>
    </row>
    <row r="22" spans="1:19" x14ac:dyDescent="0.2">
      <c r="A22" s="60" t="s">
        <v>76</v>
      </c>
      <c r="B22" s="62" t="s">
        <v>44</v>
      </c>
      <c r="C22" s="61">
        <v>51766.517999999996</v>
      </c>
      <c r="D22" s="61" t="s">
        <v>69</v>
      </c>
      <c r="E22">
        <f t="shared" si="0"/>
        <v>-41.994030995944186</v>
      </c>
      <c r="F22">
        <f t="shared" si="1"/>
        <v>-42</v>
      </c>
      <c r="G22">
        <f t="shared" si="2"/>
        <v>2.1160000032978132E-3</v>
      </c>
      <c r="I22">
        <f>+G22</f>
        <v>2.1160000032978132E-3</v>
      </c>
      <c r="O22">
        <f t="shared" ca="1" si="3"/>
        <v>3.5107736611823203E-3</v>
      </c>
      <c r="Q22" s="2">
        <f t="shared" si="4"/>
        <v>36748.017999999996</v>
      </c>
      <c r="R22" s="2"/>
      <c r="S22">
        <f t="shared" ca="1" si="5"/>
        <v>1.9453935567285279E-6</v>
      </c>
    </row>
    <row r="23" spans="1:19" x14ac:dyDescent="0.2">
      <c r="A23" s="60" t="s">
        <v>76</v>
      </c>
      <c r="B23" s="62" t="s">
        <v>44</v>
      </c>
      <c r="C23" s="61">
        <v>51771.478999999999</v>
      </c>
      <c r="D23" s="61" t="s">
        <v>69</v>
      </c>
      <c r="E23">
        <f t="shared" si="0"/>
        <v>-27.999593791776689</v>
      </c>
      <c r="F23">
        <f t="shared" si="1"/>
        <v>-28</v>
      </c>
      <c r="G23">
        <f t="shared" si="2"/>
        <v>1.4400000509340316E-4</v>
      </c>
      <c r="I23">
        <f>+G23</f>
        <v>1.4400000509340316E-4</v>
      </c>
      <c r="O23">
        <f t="shared" ca="1" si="3"/>
        <v>3.516981450411382E-3</v>
      </c>
      <c r="Q23" s="2">
        <f t="shared" si="4"/>
        <v>36752.978999999999</v>
      </c>
      <c r="R23" s="2"/>
      <c r="S23">
        <f t="shared" ca="1" si="5"/>
        <v>1.1377003830459361E-5</v>
      </c>
    </row>
    <row r="24" spans="1:19" x14ac:dyDescent="0.2">
      <c r="A24" s="60" t="s">
        <v>76</v>
      </c>
      <c r="B24" s="62" t="s">
        <v>44</v>
      </c>
      <c r="C24" s="61">
        <v>51781.404799999997</v>
      </c>
      <c r="D24" s="61" t="s">
        <v>69</v>
      </c>
      <c r="E24">
        <f t="shared" si="0"/>
        <v>0</v>
      </c>
      <c r="F24">
        <f t="shared" si="1"/>
        <v>0</v>
      </c>
      <c r="G24">
        <f t="shared" si="2"/>
        <v>0</v>
      </c>
      <c r="K24">
        <f>+G24</f>
        <v>0</v>
      </c>
      <c r="O24">
        <f t="shared" ca="1" si="3"/>
        <v>3.529397028869505E-3</v>
      </c>
      <c r="Q24" s="2">
        <f t="shared" si="4"/>
        <v>36762.904799999997</v>
      </c>
      <c r="R24" s="2"/>
      <c r="S24">
        <f t="shared" ca="1" si="5"/>
        <v>1.245664338739289E-5</v>
      </c>
    </row>
    <row r="25" spans="1:19" x14ac:dyDescent="0.2">
      <c r="A25" s="60" t="s">
        <v>76</v>
      </c>
      <c r="B25" s="62" t="s">
        <v>42</v>
      </c>
      <c r="C25" s="61">
        <v>51781.585200000001</v>
      </c>
      <c r="D25" s="61" t="s">
        <v>69</v>
      </c>
      <c r="E25">
        <f t="shared" si="0"/>
        <v>0.50888862561915194</v>
      </c>
      <c r="F25">
        <f t="shared" si="1"/>
        <v>0.5</v>
      </c>
      <c r="G25">
        <f t="shared" si="2"/>
        <v>3.1510000044363551E-3</v>
      </c>
      <c r="K25">
        <f>+G25</f>
        <v>3.1510000044363551E-3</v>
      </c>
      <c r="O25">
        <f t="shared" ca="1" si="3"/>
        <v>3.5296187356276859E-3</v>
      </c>
      <c r="Q25" s="2">
        <f t="shared" si="4"/>
        <v>36763.085200000001</v>
      </c>
      <c r="R25" s="2"/>
      <c r="S25">
        <f t="shared" ca="1" si="5"/>
        <v>1.4335214360893324E-7</v>
      </c>
    </row>
    <row r="26" spans="1:19" x14ac:dyDescent="0.2">
      <c r="A26" s="60" t="s">
        <v>92</v>
      </c>
      <c r="B26" s="62" t="s">
        <v>44</v>
      </c>
      <c r="C26" s="61">
        <v>52112.498599999999</v>
      </c>
      <c r="D26" s="61" t="s">
        <v>69</v>
      </c>
      <c r="E26">
        <f t="shared" si="0"/>
        <v>933.97931723169779</v>
      </c>
      <c r="F26">
        <f t="shared" si="1"/>
        <v>934</v>
      </c>
      <c r="G26">
        <f t="shared" si="2"/>
        <v>-7.3320000010426156E-3</v>
      </c>
      <c r="K26">
        <f>+G26</f>
        <v>-7.3320000010426156E-3</v>
      </c>
      <c r="O26">
        <f t="shared" ca="1" si="3"/>
        <v>3.9435452531511855E-3</v>
      </c>
      <c r="Q26" s="2">
        <f t="shared" si="4"/>
        <v>37093.998599999999</v>
      </c>
      <c r="R26" s="2"/>
      <c r="S26">
        <f t="shared" ca="1" si="5"/>
        <v>1.2713792077937236E-4</v>
      </c>
    </row>
    <row r="27" spans="1:19" x14ac:dyDescent="0.2">
      <c r="A27" s="60" t="s">
        <v>96</v>
      </c>
      <c r="B27" s="62" t="s">
        <v>42</v>
      </c>
      <c r="C27" s="61">
        <v>52443.43</v>
      </c>
      <c r="D27" s="61" t="s">
        <v>69</v>
      </c>
      <c r="E27">
        <f t="shared" si="0"/>
        <v>1867.5005218647318</v>
      </c>
      <c r="F27">
        <f t="shared" si="1"/>
        <v>1867.5</v>
      </c>
      <c r="G27">
        <f t="shared" si="2"/>
        <v>1.8500000442145392E-4</v>
      </c>
      <c r="I27">
        <f>+G27</f>
        <v>1.8500000442145392E-4</v>
      </c>
      <c r="O27">
        <f t="shared" ca="1" si="3"/>
        <v>4.3574717706746854E-3</v>
      </c>
      <c r="Q27" s="2">
        <f t="shared" si="4"/>
        <v>37424.93</v>
      </c>
      <c r="R27" s="2"/>
      <c r="S27">
        <f t="shared" ca="1" si="5"/>
        <v>1.7409520640180361E-5</v>
      </c>
    </row>
    <row r="28" spans="1:19" x14ac:dyDescent="0.2">
      <c r="A28" s="24" t="s">
        <v>41</v>
      </c>
      <c r="B28" s="25" t="s">
        <v>42</v>
      </c>
      <c r="C28" s="24">
        <v>52820.444300000003</v>
      </c>
      <c r="D28" s="26">
        <v>4.0000000000000002E-4</v>
      </c>
      <c r="E28">
        <f t="shared" si="0"/>
        <v>2931.0165360594597</v>
      </c>
      <c r="F28">
        <f t="shared" si="1"/>
        <v>2931</v>
      </c>
      <c r="G28">
        <f t="shared" si="2"/>
        <v>5.8620000054361299E-3</v>
      </c>
      <c r="K28">
        <f>+G28</f>
        <v>5.8620000054361299E-3</v>
      </c>
      <c r="O28">
        <f t="shared" ca="1" si="3"/>
        <v>4.8290420453251858E-3</v>
      </c>
      <c r="Q28" s="2">
        <f t="shared" si="4"/>
        <v>37801.944300000003</v>
      </c>
      <c r="R28" s="2"/>
      <c r="S28">
        <f t="shared" ca="1" si="5"/>
        <v>1.0670021473565627E-6</v>
      </c>
    </row>
    <row r="29" spans="1:19" x14ac:dyDescent="0.2">
      <c r="A29" s="27" t="s">
        <v>43</v>
      </c>
      <c r="B29" s="28" t="s">
        <v>44</v>
      </c>
      <c r="C29" s="29">
        <v>53233.442999999999</v>
      </c>
      <c r="D29" s="29">
        <v>4.0000000000000001E-3</v>
      </c>
      <c r="E29">
        <f t="shared" si="0"/>
        <v>4096.0405982544407</v>
      </c>
      <c r="F29">
        <f t="shared" si="1"/>
        <v>4096</v>
      </c>
      <c r="G29">
        <f t="shared" si="2"/>
        <v>1.4392000004590955E-2</v>
      </c>
      <c r="K29">
        <f>+G29</f>
        <v>1.4392000004590955E-2</v>
      </c>
      <c r="O29">
        <f t="shared" ca="1" si="3"/>
        <v>5.3456187918863828E-3</v>
      </c>
      <c r="Q29" s="2">
        <f t="shared" si="4"/>
        <v>38214.942999999999</v>
      </c>
      <c r="R29" s="2"/>
      <c r="S29">
        <f t="shared" ca="1" si="5"/>
        <v>8.1837013045574247E-5</v>
      </c>
    </row>
    <row r="30" spans="1:19" x14ac:dyDescent="0.2">
      <c r="A30" s="27" t="s">
        <v>43</v>
      </c>
      <c r="B30" s="28" t="s">
        <v>42</v>
      </c>
      <c r="C30" s="29">
        <v>53251.3485</v>
      </c>
      <c r="D30" s="29">
        <v>1.4E-3</v>
      </c>
      <c r="E30">
        <f t="shared" si="0"/>
        <v>4146.550051058126</v>
      </c>
      <c r="F30">
        <f t="shared" si="1"/>
        <v>4146.5</v>
      </c>
      <c r="G30">
        <f t="shared" si="2"/>
        <v>1.7743000003974885E-2</v>
      </c>
      <c r="K30">
        <f>+G30</f>
        <v>1.7743000003974885E-2</v>
      </c>
      <c r="O30">
        <f t="shared" ca="1" si="3"/>
        <v>5.3680111744626412E-3</v>
      </c>
      <c r="Q30" s="2">
        <f t="shared" si="4"/>
        <v>38232.8485</v>
      </c>
      <c r="R30" s="2"/>
      <c r="S30">
        <f t="shared" ca="1" si="5"/>
        <v>1.5314034853055282E-4</v>
      </c>
    </row>
    <row r="31" spans="1:19" x14ac:dyDescent="0.2">
      <c r="A31" s="27" t="s">
        <v>45</v>
      </c>
      <c r="B31" s="28" t="s">
        <v>42</v>
      </c>
      <c r="C31" s="29">
        <v>53652.284</v>
      </c>
      <c r="D31" s="29">
        <v>8.0000000000000002E-3</v>
      </c>
      <c r="E31">
        <f t="shared" si="0"/>
        <v>5277.545148350634</v>
      </c>
      <c r="F31">
        <f t="shared" si="1"/>
        <v>5277.5</v>
      </c>
      <c r="G31">
        <f t="shared" si="2"/>
        <v>1.6005000004952308E-2</v>
      </c>
      <c r="J31">
        <f>+G31</f>
        <v>1.6005000004952308E-2</v>
      </c>
      <c r="O31">
        <f t="shared" ca="1" si="3"/>
        <v>5.8695118614675457E-3</v>
      </c>
      <c r="Q31" s="2">
        <f t="shared" si="4"/>
        <v>38633.784</v>
      </c>
      <c r="R31" s="2"/>
      <c r="S31">
        <f t="shared" ca="1" si="5"/>
        <v>1.0272811990672018E-4</v>
      </c>
    </row>
    <row r="32" spans="1:19" x14ac:dyDescent="0.2">
      <c r="A32" s="27" t="s">
        <v>45</v>
      </c>
      <c r="B32" s="28" t="s">
        <v>44</v>
      </c>
      <c r="C32" s="29">
        <v>53652.455499999996</v>
      </c>
      <c r="D32" s="29">
        <v>2.2000000000000001E-3</v>
      </c>
      <c r="E32">
        <f t="shared" si="0"/>
        <v>5278.0289310517965</v>
      </c>
      <c r="F32">
        <f t="shared" si="1"/>
        <v>5278</v>
      </c>
      <c r="G32">
        <f t="shared" si="2"/>
        <v>1.025600000139093E-2</v>
      </c>
      <c r="J32">
        <f>+G32</f>
        <v>1.025600000139093E-2</v>
      </c>
      <c r="O32">
        <f t="shared" ca="1" si="3"/>
        <v>5.8697335682257263E-3</v>
      </c>
      <c r="Q32" s="2">
        <f t="shared" si="4"/>
        <v>38633.955499999996</v>
      </c>
      <c r="R32" s="2"/>
      <c r="S32">
        <f t="shared" ca="1" si="5"/>
        <v>1.92393332227118E-5</v>
      </c>
    </row>
    <row r="33" spans="1:19" x14ac:dyDescent="0.2">
      <c r="A33" s="24" t="s">
        <v>46</v>
      </c>
      <c r="B33" s="28" t="s">
        <v>42</v>
      </c>
      <c r="C33" s="29">
        <v>54019.3626</v>
      </c>
      <c r="D33" s="29">
        <v>1.1000000000000001E-3</v>
      </c>
      <c r="E33">
        <f t="shared" si="0"/>
        <v>6313.0336419387522</v>
      </c>
      <c r="F33">
        <f t="shared" si="1"/>
        <v>6313</v>
      </c>
      <c r="G33">
        <f t="shared" si="2"/>
        <v>1.1926000006496906E-2</v>
      </c>
      <c r="K33">
        <f>+G33</f>
        <v>1.1926000006496906E-2</v>
      </c>
      <c r="O33">
        <f t="shared" ca="1" si="3"/>
        <v>6.3286665576599227E-3</v>
      </c>
      <c r="Q33" s="2">
        <f t="shared" si="4"/>
        <v>39000.8626</v>
      </c>
      <c r="R33" s="2"/>
      <c r="S33">
        <f t="shared" ca="1" si="5"/>
        <v>3.1330141737469323E-5</v>
      </c>
    </row>
    <row r="34" spans="1:19" x14ac:dyDescent="0.2">
      <c r="A34" s="27" t="s">
        <v>47</v>
      </c>
      <c r="B34" s="35" t="s">
        <v>44</v>
      </c>
      <c r="C34" s="29">
        <v>54020.424400000004</v>
      </c>
      <c r="D34" s="29">
        <v>8.0000000000000004E-4</v>
      </c>
      <c r="E34">
        <f t="shared" si="0"/>
        <v>6316.0288633504479</v>
      </c>
      <c r="F34">
        <f t="shared" si="1"/>
        <v>6316</v>
      </c>
      <c r="G34">
        <f t="shared" si="2"/>
        <v>1.0232000007817987E-2</v>
      </c>
      <c r="J34">
        <f t="shared" ref="J34:J39" si="6">+G34</f>
        <v>1.0232000007817987E-2</v>
      </c>
      <c r="O34">
        <f t="shared" ca="1" si="3"/>
        <v>6.3299967982090068E-3</v>
      </c>
      <c r="Q34" s="2">
        <f t="shared" si="4"/>
        <v>39001.924400000004</v>
      </c>
      <c r="R34" s="2"/>
      <c r="S34">
        <f t="shared" ca="1" si="5"/>
        <v>1.5225629047798786E-5</v>
      </c>
    </row>
    <row r="35" spans="1:19" x14ac:dyDescent="0.2">
      <c r="A35" s="24" t="s">
        <v>51</v>
      </c>
      <c r="B35" s="25" t="s">
        <v>42</v>
      </c>
      <c r="C35" s="24">
        <v>54407.346799999999</v>
      </c>
      <c r="D35" s="24">
        <v>5.0000000000000001E-4</v>
      </c>
      <c r="E35">
        <f t="shared" si="0"/>
        <v>7407.4945415771117</v>
      </c>
      <c r="F35">
        <f t="shared" si="1"/>
        <v>7407.5</v>
      </c>
      <c r="G35">
        <f t="shared" si="2"/>
        <v>-1.9350000002305023E-3</v>
      </c>
      <c r="J35">
        <f t="shared" si="6"/>
        <v>-1.9350000002305023E-3</v>
      </c>
      <c r="O35">
        <f t="shared" ca="1" si="3"/>
        <v>6.8139826513176315E-3</v>
      </c>
      <c r="Q35" s="2">
        <f t="shared" si="4"/>
        <v>39388.846799999999</v>
      </c>
      <c r="R35" s="2"/>
      <c r="S35">
        <f t="shared" ca="1" si="5"/>
        <v>7.6544697437090208E-5</v>
      </c>
    </row>
    <row r="36" spans="1:19" x14ac:dyDescent="0.2">
      <c r="A36" s="46" t="s">
        <v>58</v>
      </c>
      <c r="B36" s="46"/>
      <c r="C36" s="43">
        <v>55418.549099999997</v>
      </c>
      <c r="D36" s="43">
        <v>1.1000000000000001E-3</v>
      </c>
      <c r="E36">
        <f t="shared" si="0"/>
        <v>10259.985387787801</v>
      </c>
      <c r="F36">
        <f t="shared" si="1"/>
        <v>10260</v>
      </c>
      <c r="G36">
        <f t="shared" si="2"/>
        <v>-5.1800000001094304E-3</v>
      </c>
      <c r="J36">
        <f t="shared" si="6"/>
        <v>-5.1800000001094304E-3</v>
      </c>
      <c r="O36">
        <f t="shared" ca="1" si="3"/>
        <v>8.0788197067389305E-3</v>
      </c>
      <c r="Q36" s="2">
        <f t="shared" si="4"/>
        <v>40400.049099999997</v>
      </c>
      <c r="R36" s="2"/>
      <c r="S36">
        <f t="shared" ca="1" si="5"/>
        <v>1.7579630001871046E-4</v>
      </c>
    </row>
    <row r="37" spans="1:19" x14ac:dyDescent="0.2">
      <c r="A37" s="24" t="s">
        <v>52</v>
      </c>
      <c r="B37" s="25" t="s">
        <v>44</v>
      </c>
      <c r="C37" s="24">
        <v>55687.4421</v>
      </c>
      <c r="D37" s="24">
        <v>2.8999999999999998E-3</v>
      </c>
      <c r="E37">
        <f t="shared" si="0"/>
        <v>11018.50306630786</v>
      </c>
      <c r="F37">
        <f t="shared" si="1"/>
        <v>11018.5</v>
      </c>
      <c r="G37">
        <f t="shared" si="2"/>
        <v>1.0870000041904859E-3</v>
      </c>
      <c r="J37">
        <f t="shared" si="6"/>
        <v>1.0870000041904859E-3</v>
      </c>
      <c r="O37">
        <f t="shared" ca="1" si="3"/>
        <v>8.4151488588991609E-3</v>
      </c>
      <c r="Q37" s="2">
        <f t="shared" si="4"/>
        <v>40668.9421</v>
      </c>
      <c r="R37" s="2"/>
      <c r="S37">
        <f t="shared" ca="1" si="5"/>
        <v>5.3701765636768062E-5</v>
      </c>
    </row>
    <row r="38" spans="1:19" x14ac:dyDescent="0.2">
      <c r="A38" s="40" t="s">
        <v>53</v>
      </c>
      <c r="B38" s="41" t="s">
        <v>44</v>
      </c>
      <c r="C38" s="42">
        <v>56186.406999999999</v>
      </c>
      <c r="D38" s="42">
        <v>1.5E-3</v>
      </c>
      <c r="E38">
        <f t="shared" si="0"/>
        <v>12426.028355590166</v>
      </c>
      <c r="F38">
        <f t="shared" si="1"/>
        <v>12426</v>
      </c>
      <c r="G38">
        <f t="shared" si="2"/>
        <v>1.0052000005089212E-2</v>
      </c>
      <c r="J38">
        <f t="shared" si="6"/>
        <v>1.0052000005089212E-2</v>
      </c>
      <c r="O38">
        <f t="shared" ca="1" si="3"/>
        <v>9.0392533831780315E-3</v>
      </c>
      <c r="Q38" s="2">
        <f t="shared" si="4"/>
        <v>41167.906999999999</v>
      </c>
      <c r="R38" s="2"/>
      <c r="S38">
        <f t="shared" ca="1" si="5"/>
        <v>1.025655720192508E-6</v>
      </c>
    </row>
    <row r="39" spans="1:19" x14ac:dyDescent="0.2">
      <c r="A39" s="40" t="s">
        <v>53</v>
      </c>
      <c r="B39" s="41" t="s">
        <v>42</v>
      </c>
      <c r="C39" s="42">
        <v>56186.587399999997</v>
      </c>
      <c r="D39" s="42">
        <v>2.2000000000000001E-3</v>
      </c>
      <c r="E39">
        <f t="shared" si="0"/>
        <v>12426.537244215766</v>
      </c>
      <c r="F39">
        <f t="shared" si="1"/>
        <v>12426.5</v>
      </c>
      <c r="G39">
        <f t="shared" si="2"/>
        <v>1.320300000224961E-2</v>
      </c>
      <c r="J39">
        <f t="shared" si="6"/>
        <v>1.320300000224961E-2</v>
      </c>
      <c r="O39">
        <f t="shared" ca="1" si="3"/>
        <v>9.0394750899362129E-3</v>
      </c>
      <c r="Q39" s="2">
        <f t="shared" si="4"/>
        <v>41168.087399999997</v>
      </c>
      <c r="R39" s="2"/>
      <c r="S39">
        <f t="shared" ca="1" si="5"/>
        <v>1.7334939695454279E-5</v>
      </c>
    </row>
    <row r="40" spans="1:19" x14ac:dyDescent="0.2">
      <c r="A40" s="42" t="s">
        <v>55</v>
      </c>
      <c r="B40" s="41" t="s">
        <v>44</v>
      </c>
      <c r="C40" s="42">
        <v>56483.2961</v>
      </c>
      <c r="D40" s="42">
        <v>2.0000000000000001E-4</v>
      </c>
      <c r="E40">
        <f t="shared" si="0"/>
        <v>13263.519963441269</v>
      </c>
      <c r="F40">
        <f t="shared" si="1"/>
        <v>13263.5</v>
      </c>
      <c r="G40">
        <f t="shared" si="2"/>
        <v>7.0770000020274892E-3</v>
      </c>
      <c r="K40">
        <f>+G40</f>
        <v>7.0770000020274892E-3</v>
      </c>
      <c r="O40">
        <f t="shared" ca="1" si="3"/>
        <v>9.4106122031308234E-3</v>
      </c>
      <c r="Q40" s="2">
        <f t="shared" si="4"/>
        <v>41464.7961</v>
      </c>
      <c r="R40" s="2"/>
      <c r="S40">
        <f t="shared" ca="1" si="5"/>
        <v>5.4457459051383478E-6</v>
      </c>
    </row>
    <row r="41" spans="1:19" x14ac:dyDescent="0.2">
      <c r="A41" s="42" t="s">
        <v>55</v>
      </c>
      <c r="B41" s="41" t="s">
        <v>42</v>
      </c>
      <c r="C41" s="42">
        <v>56499.430999999997</v>
      </c>
      <c r="D41" s="42">
        <v>2.0000000000000001E-4</v>
      </c>
      <c r="E41">
        <f t="shared" si="0"/>
        <v>13309.034747727774</v>
      </c>
      <c r="F41">
        <f t="shared" si="1"/>
        <v>13309</v>
      </c>
      <c r="G41">
        <f t="shared" si="2"/>
        <v>1.2318000000959728E-2</v>
      </c>
      <c r="K41">
        <f>+G41</f>
        <v>1.2318000000959728E-2</v>
      </c>
      <c r="O41">
        <f t="shared" ca="1" si="3"/>
        <v>9.4307875181252748E-3</v>
      </c>
      <c r="Q41" s="2">
        <f t="shared" si="4"/>
        <v>41480.930999999997</v>
      </c>
      <c r="R41" s="2"/>
      <c r="S41">
        <f t="shared" ca="1" si="5"/>
        <v>8.3359959210350877E-6</v>
      </c>
    </row>
    <row r="42" spans="1:19" x14ac:dyDescent="0.2">
      <c r="C42" s="10"/>
      <c r="D42" s="10"/>
    </row>
    <row r="43" spans="1:19" x14ac:dyDescent="0.2">
      <c r="C43" s="10"/>
      <c r="D43" s="10"/>
    </row>
    <row r="44" spans="1:19" x14ac:dyDescent="0.2">
      <c r="C44" s="10"/>
      <c r="D44" s="10"/>
    </row>
    <row r="45" spans="1:19" x14ac:dyDescent="0.2">
      <c r="C45" s="10"/>
      <c r="D45" s="10"/>
    </row>
    <row r="46" spans="1:19" x14ac:dyDescent="0.2">
      <c r="C46" s="10"/>
      <c r="D46" s="10"/>
    </row>
    <row r="47" spans="1:19" x14ac:dyDescent="0.2">
      <c r="C47" s="10"/>
      <c r="D47" s="10"/>
    </row>
    <row r="48" spans="1:19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workbookViewId="0">
      <selection activeCell="C21" sqref="C21:C3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31</v>
      </c>
      <c r="D4" s="9" t="s">
        <v>31</v>
      </c>
    </row>
    <row r="6" spans="1:7" x14ac:dyDescent="0.2">
      <c r="A6" s="5" t="s">
        <v>1</v>
      </c>
    </row>
    <row r="7" spans="1:7" x14ac:dyDescent="0.2">
      <c r="A7" t="s">
        <v>2</v>
      </c>
      <c r="C7">
        <v>51781.404799999997</v>
      </c>
    </row>
    <row r="8" spans="1:7" x14ac:dyDescent="0.2">
      <c r="A8" t="s">
        <v>3</v>
      </c>
      <c r="C8">
        <v>0.35436000000000001</v>
      </c>
    </row>
    <row r="9" spans="1:7" x14ac:dyDescent="0.2">
      <c r="A9" s="11" t="s">
        <v>33</v>
      </c>
      <c r="B9" s="12"/>
      <c r="C9" s="13">
        <v>8</v>
      </c>
      <c r="D9" s="12" t="s">
        <v>34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30">
        <f ca="1">INTERCEPT(INDIRECT($G$11):G992,INDIRECT($F$11):F992)</f>
        <v>8.9943896002765089E-2</v>
      </c>
      <c r="D11" s="3"/>
      <c r="E11" s="12"/>
      <c r="F11" s="31" t="str">
        <f>"F"&amp;E19</f>
        <v>F21</v>
      </c>
      <c r="G11" s="32" t="str">
        <f>"G"&amp;E19</f>
        <v>G21</v>
      </c>
    </row>
    <row r="12" spans="1:7" x14ac:dyDescent="0.2">
      <c r="A12" s="12" t="s">
        <v>17</v>
      </c>
      <c r="B12" s="12"/>
      <c r="C12" s="30">
        <f ca="1">SLOPE(INDIRECT($G$11):G992,INDIRECT($F$11):F992)</f>
        <v>-1.2549768318604893E-5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48</v>
      </c>
      <c r="E13" s="13">
        <v>1</v>
      </c>
    </row>
    <row r="14" spans="1:7" x14ac:dyDescent="0.2">
      <c r="A14" s="12"/>
      <c r="B14" s="12"/>
      <c r="C14" s="12"/>
      <c r="D14" s="16" t="s">
        <v>35</v>
      </c>
      <c r="E14" s="17">
        <f ca="1">NOW()+15018.5+$C$9/24</f>
        <v>60347.414000694444</v>
      </c>
    </row>
    <row r="15" spans="1:7" x14ac:dyDescent="0.2">
      <c r="A15" s="14" t="s">
        <v>18</v>
      </c>
      <c r="B15" s="12"/>
      <c r="C15" s="15">
        <f ca="1">(C7+C11)+(C8+C12)*INT(MAX(F21:F3533))</f>
        <v>56186.387897726032</v>
      </c>
      <c r="D15" s="16" t="s">
        <v>49</v>
      </c>
      <c r="E15" s="17">
        <f ca="1">ROUND(2*(E14-$C$7)/$C$8,0)/2+E13</f>
        <v>24174</v>
      </c>
    </row>
    <row r="16" spans="1:7" x14ac:dyDescent="0.2">
      <c r="A16" s="18" t="s">
        <v>4</v>
      </c>
      <c r="B16" s="12"/>
      <c r="C16" s="19">
        <f ca="1">+C8+C12</f>
        <v>0.3543474502316814</v>
      </c>
      <c r="D16" s="16" t="s">
        <v>36</v>
      </c>
      <c r="E16" s="32">
        <f ca="1">ROUND(2*(E14-$C$15)/$C$16,0)/2+E13</f>
        <v>11744</v>
      </c>
    </row>
    <row r="17" spans="1:17" ht="13.5" thickBot="1" x14ac:dyDescent="0.25">
      <c r="A17" s="16" t="s">
        <v>32</v>
      </c>
      <c r="B17" s="12"/>
      <c r="C17" s="12">
        <f>COUNT(C21:C2191)</f>
        <v>11</v>
      </c>
      <c r="D17" s="16" t="s">
        <v>37</v>
      </c>
      <c r="E17" s="20">
        <f ca="1">+$C$15+$C$16*E16-15018.5-$C$9/24</f>
        <v>45329.01101991356</v>
      </c>
    </row>
    <row r="18" spans="1:17" ht="14.25" thickTop="1" thickBot="1" x14ac:dyDescent="0.25">
      <c r="A18" s="18" t="s">
        <v>5</v>
      </c>
      <c r="B18" s="12"/>
      <c r="C18" s="21">
        <f ca="1">+C15</f>
        <v>56186.387897726032</v>
      </c>
      <c r="D18" s="22">
        <f ca="1">+C16</f>
        <v>0.3543474502316814</v>
      </c>
      <c r="E18" s="23" t="s">
        <v>38</v>
      </c>
    </row>
    <row r="19" spans="1:17" ht="13.5" thickTop="1" x14ac:dyDescent="0.2">
      <c r="A19" s="33" t="s">
        <v>50</v>
      </c>
      <c r="E19" s="34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24" t="s">
        <v>41</v>
      </c>
      <c r="B21" s="25" t="s">
        <v>42</v>
      </c>
      <c r="C21" s="24">
        <v>52820.444300000003</v>
      </c>
      <c r="D21" s="26">
        <v>4.0000000000000002E-4</v>
      </c>
      <c r="E21">
        <f t="shared" ref="E21:E29" si="0">+(C21-C$7)/C$8</f>
        <v>2932.1579749407556</v>
      </c>
      <c r="F21">
        <f t="shared" ref="F21:F31" si="1">ROUND(2*E21,0)/2</f>
        <v>2932</v>
      </c>
      <c r="G21">
        <f t="shared" ref="G21:G29" si="2">+C21-(C$7+F21*C$8)</f>
        <v>5.5980000004637986E-2</v>
      </c>
      <c r="H21">
        <f t="shared" ref="H21:H31" si="3">+G21</f>
        <v>5.5980000004637986E-2</v>
      </c>
      <c r="O21">
        <f t="shared" ref="O21:O29" ca="1" si="4">+C$11+C$12*$F21</f>
        <v>5.3147975292615543E-2</v>
      </c>
      <c r="Q21" s="2">
        <f t="shared" ref="Q21:Q29" si="5">+C21-15018.5</f>
        <v>37801.944300000003</v>
      </c>
    </row>
    <row r="22" spans="1:17" x14ac:dyDescent="0.2">
      <c r="A22" s="27" t="s">
        <v>43</v>
      </c>
      <c r="B22" s="28" t="s">
        <v>44</v>
      </c>
      <c r="C22" s="29">
        <v>53233.442999999999</v>
      </c>
      <c r="D22" s="29">
        <v>4.0000000000000001E-3</v>
      </c>
      <c r="E22">
        <f t="shared" si="0"/>
        <v>4097.6357376679161</v>
      </c>
      <c r="F22">
        <f t="shared" si="1"/>
        <v>4097.5</v>
      </c>
      <c r="G22">
        <f t="shared" si="2"/>
        <v>4.8099999999976717E-2</v>
      </c>
      <c r="H22">
        <f t="shared" si="3"/>
        <v>4.8099999999976717E-2</v>
      </c>
      <c r="O22">
        <f t="shared" ca="1" si="4"/>
        <v>3.8521220317281543E-2</v>
      </c>
      <c r="Q22" s="2">
        <f t="shared" si="5"/>
        <v>38214.942999999999</v>
      </c>
    </row>
    <row r="23" spans="1:17" x14ac:dyDescent="0.2">
      <c r="A23" s="27" t="s">
        <v>43</v>
      </c>
      <c r="B23" s="28" t="s">
        <v>42</v>
      </c>
      <c r="C23" s="29">
        <v>53251.3485</v>
      </c>
      <c r="D23" s="29">
        <v>1.4E-3</v>
      </c>
      <c r="E23">
        <f t="shared" si="0"/>
        <v>4148.1648605937562</v>
      </c>
      <c r="F23">
        <f t="shared" si="1"/>
        <v>4148</v>
      </c>
      <c r="G23">
        <f t="shared" si="2"/>
        <v>5.8420000001206063E-2</v>
      </c>
      <c r="H23">
        <f t="shared" si="3"/>
        <v>5.8420000001206063E-2</v>
      </c>
      <c r="O23">
        <f t="shared" ca="1" si="4"/>
        <v>3.7887457017191997E-2</v>
      </c>
      <c r="Q23" s="2">
        <f t="shared" si="5"/>
        <v>38232.8485</v>
      </c>
    </row>
    <row r="24" spans="1:17" x14ac:dyDescent="0.2">
      <c r="A24" s="27" t="s">
        <v>45</v>
      </c>
      <c r="B24" s="28" t="s">
        <v>42</v>
      </c>
      <c r="C24" s="29">
        <v>53652.284</v>
      </c>
      <c r="D24" s="29">
        <v>8.0000000000000002E-3</v>
      </c>
      <c r="E24">
        <f t="shared" si="0"/>
        <v>5279.6004063664159</v>
      </c>
      <c r="F24">
        <f t="shared" si="1"/>
        <v>5279.5</v>
      </c>
      <c r="G24">
        <f t="shared" si="2"/>
        <v>3.5580000003392342E-2</v>
      </c>
      <c r="H24">
        <f t="shared" si="3"/>
        <v>3.5580000003392342E-2</v>
      </c>
      <c r="O24">
        <f t="shared" ca="1" si="4"/>
        <v>2.3687394164690553E-2</v>
      </c>
      <c r="Q24" s="2">
        <f t="shared" si="5"/>
        <v>38633.784</v>
      </c>
    </row>
    <row r="25" spans="1:17" x14ac:dyDescent="0.2">
      <c r="A25" s="27" t="s">
        <v>45</v>
      </c>
      <c r="B25" s="28" t="s">
        <v>44</v>
      </c>
      <c r="C25" s="29">
        <v>53652.455499999996</v>
      </c>
      <c r="D25" s="29">
        <v>2.2000000000000001E-3</v>
      </c>
      <c r="E25">
        <f t="shared" si="0"/>
        <v>5280.0843774692394</v>
      </c>
      <c r="F25">
        <f t="shared" si="1"/>
        <v>5280</v>
      </c>
      <c r="G25">
        <f t="shared" si="2"/>
        <v>2.9900000001362059E-2</v>
      </c>
      <c r="H25">
        <f t="shared" si="3"/>
        <v>2.9900000001362059E-2</v>
      </c>
      <c r="O25">
        <f t="shared" ca="1" si="4"/>
        <v>2.3681119280531251E-2</v>
      </c>
      <c r="Q25" s="2">
        <f t="shared" si="5"/>
        <v>38633.955499999996</v>
      </c>
    </row>
    <row r="26" spans="1:17" x14ac:dyDescent="0.2">
      <c r="A26" s="24" t="s">
        <v>46</v>
      </c>
      <c r="B26" s="28" t="s">
        <v>42</v>
      </c>
      <c r="C26" s="29">
        <v>54019.3626</v>
      </c>
      <c r="D26" s="29">
        <v>1.1000000000000001E-3</v>
      </c>
      <c r="E26">
        <f t="shared" si="0"/>
        <v>6315.4921548707634</v>
      </c>
      <c r="F26">
        <f t="shared" si="1"/>
        <v>6315.5</v>
      </c>
      <c r="G26">
        <f t="shared" si="2"/>
        <v>-2.7799999952549115E-3</v>
      </c>
      <c r="H26">
        <f t="shared" si="3"/>
        <v>-2.7799999952549115E-3</v>
      </c>
      <c r="O26">
        <f t="shared" ca="1" si="4"/>
        <v>1.0685834186615895E-2</v>
      </c>
      <c r="Q26" s="2">
        <f t="shared" si="5"/>
        <v>39000.8626</v>
      </c>
    </row>
    <row r="27" spans="1:17" x14ac:dyDescent="0.2">
      <c r="A27" s="27" t="s">
        <v>47</v>
      </c>
      <c r="B27" s="35" t="s">
        <v>44</v>
      </c>
      <c r="C27" s="29">
        <v>54020.424400000004</v>
      </c>
      <c r="D27" s="29">
        <v>8.0000000000000004E-4</v>
      </c>
      <c r="E27">
        <f t="shared" si="0"/>
        <v>6318.4885427249319</v>
      </c>
      <c r="F27">
        <f t="shared" si="1"/>
        <v>6318.5</v>
      </c>
      <c r="G27">
        <f t="shared" si="2"/>
        <v>-4.0599999920232221E-3</v>
      </c>
      <c r="H27">
        <f t="shared" si="3"/>
        <v>-4.0599999920232221E-3</v>
      </c>
      <c r="O27">
        <f t="shared" ca="1" si="4"/>
        <v>1.0648184881660069E-2</v>
      </c>
      <c r="Q27" s="2">
        <f t="shared" si="5"/>
        <v>39001.924400000004</v>
      </c>
    </row>
    <row r="28" spans="1:17" x14ac:dyDescent="0.2">
      <c r="A28" s="24" t="s">
        <v>51</v>
      </c>
      <c r="B28" s="25" t="s">
        <v>42</v>
      </c>
      <c r="C28" s="24">
        <v>54407.346799999999</v>
      </c>
      <c r="D28" s="24">
        <v>5.0000000000000001E-4</v>
      </c>
      <c r="E28">
        <f t="shared" si="0"/>
        <v>7410.3792753132484</v>
      </c>
      <c r="F28">
        <f t="shared" si="1"/>
        <v>7410.5</v>
      </c>
      <c r="G28">
        <f t="shared" si="2"/>
        <v>-4.2779999996128026E-2</v>
      </c>
      <c r="H28">
        <f t="shared" si="3"/>
        <v>-4.2779999996128026E-2</v>
      </c>
      <c r="O28">
        <f t="shared" ca="1" si="4"/>
        <v>-3.05616212225647E-3</v>
      </c>
      <c r="Q28" s="2">
        <f t="shared" si="5"/>
        <v>39388.846799999999</v>
      </c>
    </row>
    <row r="29" spans="1:17" x14ac:dyDescent="0.2">
      <c r="A29" s="24" t="s">
        <v>52</v>
      </c>
      <c r="B29" s="25" t="s">
        <v>44</v>
      </c>
      <c r="C29" s="24">
        <v>55687.4421</v>
      </c>
      <c r="D29" s="24">
        <v>2.8999999999999998E-3</v>
      </c>
      <c r="E29">
        <f t="shared" si="0"/>
        <v>11022.794051247329</v>
      </c>
      <c r="F29">
        <f t="shared" si="1"/>
        <v>11023</v>
      </c>
      <c r="G29">
        <f t="shared" si="2"/>
        <v>-7.2979999997187406E-2</v>
      </c>
      <c r="H29">
        <f t="shared" si="3"/>
        <v>-7.2979999997187406E-2</v>
      </c>
      <c r="O29">
        <f t="shared" ca="1" si="4"/>
        <v>-4.8392200173216632E-2</v>
      </c>
      <c r="Q29" s="2">
        <f t="shared" si="5"/>
        <v>40668.9421</v>
      </c>
    </row>
    <row r="30" spans="1:17" x14ac:dyDescent="0.2">
      <c r="A30" s="36" t="s">
        <v>53</v>
      </c>
      <c r="B30" s="37" t="s">
        <v>44</v>
      </c>
      <c r="C30" s="38">
        <v>56186.406999999999</v>
      </c>
      <c r="D30" s="38">
        <v>1.5E-3</v>
      </c>
      <c r="E30">
        <f>+(C30-C$7)/C$8</f>
        <v>12430.867479399489</v>
      </c>
      <c r="F30">
        <f t="shared" si="1"/>
        <v>12431</v>
      </c>
      <c r="G30">
        <f>+C30-(C$7+F30*C$8)</f>
        <v>-4.6959999999671709E-2</v>
      </c>
      <c r="H30">
        <f t="shared" si="3"/>
        <v>-4.6959999999671709E-2</v>
      </c>
      <c r="O30">
        <f ca="1">+C$11+C$12*$F30</f>
        <v>-6.6062273965812324E-2</v>
      </c>
      <c r="Q30" s="2">
        <f>+C30-15018.5</f>
        <v>41167.906999999999</v>
      </c>
    </row>
    <row r="31" spans="1:17" x14ac:dyDescent="0.2">
      <c r="A31" s="36" t="s">
        <v>53</v>
      </c>
      <c r="B31" s="37" t="s">
        <v>42</v>
      </c>
      <c r="C31" s="38">
        <v>56186.587399999997</v>
      </c>
      <c r="D31" s="38">
        <v>2.2000000000000001E-3</v>
      </c>
      <c r="E31">
        <f>+(C31-C$7)/C$8</f>
        <v>12431.37656620386</v>
      </c>
      <c r="F31">
        <f t="shared" si="1"/>
        <v>12431.5</v>
      </c>
      <c r="G31">
        <f>+C31-(C$7+F31*C$8)</f>
        <v>-4.3740000000980217E-2</v>
      </c>
      <c r="H31">
        <f t="shared" si="3"/>
        <v>-4.3740000000980217E-2</v>
      </c>
      <c r="O31">
        <f ca="1">+C$11+C$12*$F31</f>
        <v>-6.6068548849971626E-2</v>
      </c>
      <c r="Q31" s="2">
        <f>+C31-15018.5</f>
        <v>41168.087399999997</v>
      </c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5"/>
  <sheetViews>
    <sheetView topLeftCell="A8" workbookViewId="0">
      <selection activeCell="A25" sqref="A25:D3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7" t="s">
        <v>59</v>
      </c>
      <c r="I1" s="48" t="s">
        <v>60</v>
      </c>
      <c r="J1" s="49" t="s">
        <v>61</v>
      </c>
    </row>
    <row r="2" spans="1:16" x14ac:dyDescent="0.2">
      <c r="I2" s="50" t="s">
        <v>62</v>
      </c>
      <c r="J2" s="51" t="s">
        <v>63</v>
      </c>
    </row>
    <row r="3" spans="1:16" x14ac:dyDescent="0.2">
      <c r="A3" s="52" t="s">
        <v>64</v>
      </c>
      <c r="I3" s="50" t="s">
        <v>65</v>
      </c>
      <c r="J3" s="51" t="s">
        <v>66</v>
      </c>
    </row>
    <row r="4" spans="1:16" x14ac:dyDescent="0.2">
      <c r="I4" s="50" t="s">
        <v>67</v>
      </c>
      <c r="J4" s="51" t="s">
        <v>66</v>
      </c>
    </row>
    <row r="5" spans="1:16" ht="13.5" thickBot="1" x14ac:dyDescent="0.25">
      <c r="I5" s="53" t="s">
        <v>68</v>
      </c>
      <c r="J5" s="54" t="s">
        <v>69</v>
      </c>
    </row>
    <row r="10" spans="1:16" ht="13.5" thickBot="1" x14ac:dyDescent="0.25"/>
    <row r="11" spans="1:16" ht="12.75" customHeight="1" thickBot="1" x14ac:dyDescent="0.25">
      <c r="A11" s="10" t="str">
        <f t="shared" ref="A11:A31" si="0">P11</f>
        <v> BBS 130 </v>
      </c>
      <c r="B11" s="3" t="str">
        <f t="shared" ref="B11:B31" si="1">IF(H11=INT(H11),"I","II")</f>
        <v>I</v>
      </c>
      <c r="C11" s="10">
        <f t="shared" ref="C11:C31" si="2">1*G11</f>
        <v>52820.444300000003</v>
      </c>
      <c r="D11" s="12" t="str">
        <f t="shared" ref="D11:D31" si="3">VLOOKUP(F11,I$1:J$5,2,FALSE)</f>
        <v>vis</v>
      </c>
      <c r="E11" s="55">
        <f>VLOOKUP(C11,Active!C$21:E$973,3,FALSE)</f>
        <v>2931.0165360594597</v>
      </c>
      <c r="F11" s="3" t="s">
        <v>68</v>
      </c>
      <c r="G11" s="12" t="str">
        <f t="shared" ref="G11:G31" si="4">MID(I11,3,LEN(I11)-3)</f>
        <v>52820.4443</v>
      </c>
      <c r="H11" s="10">
        <f t="shared" ref="H11:H31" si="5">1*K11</f>
        <v>903</v>
      </c>
      <c r="I11" s="56" t="s">
        <v>97</v>
      </c>
      <c r="J11" s="57" t="s">
        <v>98</v>
      </c>
      <c r="K11" s="56">
        <v>903</v>
      </c>
      <c r="L11" s="56" t="s">
        <v>99</v>
      </c>
      <c r="M11" s="57" t="s">
        <v>73</v>
      </c>
      <c r="N11" s="57" t="s">
        <v>74</v>
      </c>
      <c r="O11" s="58" t="s">
        <v>75</v>
      </c>
      <c r="P11" s="58" t="s">
        <v>100</v>
      </c>
    </row>
    <row r="12" spans="1:16" ht="12.75" customHeight="1" thickBot="1" x14ac:dyDescent="0.25">
      <c r="A12" s="10" t="str">
        <f t="shared" si="0"/>
        <v>IBVS 5653 </v>
      </c>
      <c r="B12" s="3" t="str">
        <f t="shared" si="1"/>
        <v>I</v>
      </c>
      <c r="C12" s="10">
        <f t="shared" si="2"/>
        <v>53233.442999999999</v>
      </c>
      <c r="D12" s="12" t="str">
        <f t="shared" si="3"/>
        <v>vis</v>
      </c>
      <c r="E12" s="55">
        <f>VLOOKUP(C12,Active!C$21:E$973,3,FALSE)</f>
        <v>4096.0405982544407</v>
      </c>
      <c r="F12" s="3" t="s">
        <v>68</v>
      </c>
      <c r="G12" s="12" t="str">
        <f t="shared" si="4"/>
        <v>53233.443</v>
      </c>
      <c r="H12" s="10">
        <f t="shared" si="5"/>
        <v>2068</v>
      </c>
      <c r="I12" s="56" t="s">
        <v>101</v>
      </c>
      <c r="J12" s="57" t="s">
        <v>102</v>
      </c>
      <c r="K12" s="56">
        <v>2068</v>
      </c>
      <c r="L12" s="56" t="s">
        <v>103</v>
      </c>
      <c r="M12" s="57" t="s">
        <v>73</v>
      </c>
      <c r="N12" s="57" t="s">
        <v>74</v>
      </c>
      <c r="O12" s="58" t="s">
        <v>75</v>
      </c>
      <c r="P12" s="59" t="s">
        <v>104</v>
      </c>
    </row>
    <row r="13" spans="1:16" ht="12.75" customHeight="1" thickBot="1" x14ac:dyDescent="0.25">
      <c r="A13" s="10" t="str">
        <f t="shared" si="0"/>
        <v>IBVS 5653 </v>
      </c>
      <c r="B13" s="3" t="str">
        <f t="shared" si="1"/>
        <v>II</v>
      </c>
      <c r="C13" s="10">
        <f t="shared" si="2"/>
        <v>53251.3485</v>
      </c>
      <c r="D13" s="12" t="str">
        <f t="shared" si="3"/>
        <v>vis</v>
      </c>
      <c r="E13" s="55">
        <f>VLOOKUP(C13,Active!C$21:E$973,3,FALSE)</f>
        <v>4146.550051058126</v>
      </c>
      <c r="F13" s="3" t="s">
        <v>68</v>
      </c>
      <c r="G13" s="12" t="str">
        <f t="shared" si="4"/>
        <v>53251.3485</v>
      </c>
      <c r="H13" s="10">
        <f t="shared" si="5"/>
        <v>2118.5</v>
      </c>
      <c r="I13" s="56" t="s">
        <v>105</v>
      </c>
      <c r="J13" s="57" t="s">
        <v>106</v>
      </c>
      <c r="K13" s="56">
        <v>2118.5</v>
      </c>
      <c r="L13" s="56" t="s">
        <v>107</v>
      </c>
      <c r="M13" s="57" t="s">
        <v>73</v>
      </c>
      <c r="N13" s="57" t="s">
        <v>74</v>
      </c>
      <c r="O13" s="58" t="s">
        <v>75</v>
      </c>
      <c r="P13" s="59" t="s">
        <v>104</v>
      </c>
    </row>
    <row r="14" spans="1:16" ht="12.75" customHeight="1" thickBot="1" x14ac:dyDescent="0.25">
      <c r="A14" s="10" t="str">
        <f t="shared" si="0"/>
        <v>IBVS 5713 </v>
      </c>
      <c r="B14" s="3" t="str">
        <f t="shared" si="1"/>
        <v>II</v>
      </c>
      <c r="C14" s="10">
        <f t="shared" si="2"/>
        <v>53652.284</v>
      </c>
      <c r="D14" s="12" t="str">
        <f t="shared" si="3"/>
        <v>vis</v>
      </c>
      <c r="E14" s="55">
        <f>VLOOKUP(C14,Active!C$21:E$973,3,FALSE)</f>
        <v>5277.545148350634</v>
      </c>
      <c r="F14" s="3" t="s">
        <v>68</v>
      </c>
      <c r="G14" s="12" t="str">
        <f t="shared" si="4"/>
        <v>53652.284</v>
      </c>
      <c r="H14" s="10">
        <f t="shared" si="5"/>
        <v>3249.5</v>
      </c>
      <c r="I14" s="56" t="s">
        <v>108</v>
      </c>
      <c r="J14" s="57" t="s">
        <v>109</v>
      </c>
      <c r="K14" s="56">
        <v>3249.5</v>
      </c>
      <c r="L14" s="56" t="s">
        <v>110</v>
      </c>
      <c r="M14" s="57" t="s">
        <v>73</v>
      </c>
      <c r="N14" s="57" t="s">
        <v>74</v>
      </c>
      <c r="O14" s="58" t="s">
        <v>75</v>
      </c>
      <c r="P14" s="59" t="s">
        <v>111</v>
      </c>
    </row>
    <row r="15" spans="1:16" ht="12.75" customHeight="1" thickBot="1" x14ac:dyDescent="0.25">
      <c r="A15" s="10" t="str">
        <f t="shared" si="0"/>
        <v>IBVS 5713 </v>
      </c>
      <c r="B15" s="3" t="str">
        <f t="shared" si="1"/>
        <v>I</v>
      </c>
      <c r="C15" s="10">
        <f t="shared" si="2"/>
        <v>53652.455499999996</v>
      </c>
      <c r="D15" s="12" t="str">
        <f t="shared" si="3"/>
        <v>vis</v>
      </c>
      <c r="E15" s="55">
        <f>VLOOKUP(C15,Active!C$21:E$973,3,FALSE)</f>
        <v>5278.0289310517965</v>
      </c>
      <c r="F15" s="3" t="s">
        <v>68</v>
      </c>
      <c r="G15" s="12" t="str">
        <f t="shared" si="4"/>
        <v>53652.4555</v>
      </c>
      <c r="H15" s="10">
        <f t="shared" si="5"/>
        <v>3250</v>
      </c>
      <c r="I15" s="56" t="s">
        <v>112</v>
      </c>
      <c r="J15" s="57" t="s">
        <v>113</v>
      </c>
      <c r="K15" s="56">
        <v>3250</v>
      </c>
      <c r="L15" s="56" t="s">
        <v>114</v>
      </c>
      <c r="M15" s="57" t="s">
        <v>73</v>
      </c>
      <c r="N15" s="57" t="s">
        <v>74</v>
      </c>
      <c r="O15" s="58" t="s">
        <v>75</v>
      </c>
      <c r="P15" s="59" t="s">
        <v>111</v>
      </c>
    </row>
    <row r="16" spans="1:16" ht="12.75" customHeight="1" thickBot="1" x14ac:dyDescent="0.25">
      <c r="A16" s="10" t="str">
        <f t="shared" si="0"/>
        <v> BBS 133 (=IBVS 5781) </v>
      </c>
      <c r="B16" s="3" t="str">
        <f t="shared" si="1"/>
        <v>I</v>
      </c>
      <c r="C16" s="10">
        <f t="shared" si="2"/>
        <v>54019.3626</v>
      </c>
      <c r="D16" s="12" t="str">
        <f t="shared" si="3"/>
        <v>vis</v>
      </c>
      <c r="E16" s="55">
        <f>VLOOKUP(C16,Active!C$21:E$973,3,FALSE)</f>
        <v>6313.0336419387522</v>
      </c>
      <c r="F16" s="3" t="s">
        <v>68</v>
      </c>
      <c r="G16" s="12" t="str">
        <f t="shared" si="4"/>
        <v>54019.3626</v>
      </c>
      <c r="H16" s="10">
        <f t="shared" si="5"/>
        <v>4285</v>
      </c>
      <c r="I16" s="56" t="s">
        <v>115</v>
      </c>
      <c r="J16" s="57" t="s">
        <v>116</v>
      </c>
      <c r="K16" s="56">
        <v>4285</v>
      </c>
      <c r="L16" s="56" t="s">
        <v>117</v>
      </c>
      <c r="M16" s="57" t="s">
        <v>118</v>
      </c>
      <c r="N16" s="57" t="s">
        <v>119</v>
      </c>
      <c r="O16" s="58" t="s">
        <v>75</v>
      </c>
      <c r="P16" s="58" t="s">
        <v>120</v>
      </c>
    </row>
    <row r="17" spans="1:16" ht="12.75" customHeight="1" thickBot="1" x14ac:dyDescent="0.25">
      <c r="A17" s="10" t="str">
        <f t="shared" si="0"/>
        <v>BAVM 183 </v>
      </c>
      <c r="B17" s="3" t="str">
        <f t="shared" si="1"/>
        <v>I</v>
      </c>
      <c r="C17" s="10">
        <f t="shared" si="2"/>
        <v>54020.424400000004</v>
      </c>
      <c r="D17" s="12" t="str">
        <f t="shared" si="3"/>
        <v>vis</v>
      </c>
      <c r="E17" s="55">
        <f>VLOOKUP(C17,Active!C$21:E$973,3,FALSE)</f>
        <v>6316.0288633504479</v>
      </c>
      <c r="F17" s="3" t="s">
        <v>68</v>
      </c>
      <c r="G17" s="12" t="str">
        <f t="shared" si="4"/>
        <v>54020.4244</v>
      </c>
      <c r="H17" s="10">
        <f t="shared" si="5"/>
        <v>4288</v>
      </c>
      <c r="I17" s="56" t="s">
        <v>121</v>
      </c>
      <c r="J17" s="57" t="s">
        <v>122</v>
      </c>
      <c r="K17" s="56">
        <v>4288</v>
      </c>
      <c r="L17" s="56" t="s">
        <v>123</v>
      </c>
      <c r="M17" s="57" t="s">
        <v>118</v>
      </c>
      <c r="N17" s="57" t="s">
        <v>124</v>
      </c>
      <c r="O17" s="58" t="s">
        <v>125</v>
      </c>
      <c r="P17" s="59" t="s">
        <v>126</v>
      </c>
    </row>
    <row r="18" spans="1:16" ht="12.75" customHeight="1" thickBot="1" x14ac:dyDescent="0.25">
      <c r="A18" s="10" t="str">
        <f t="shared" si="0"/>
        <v>IBVS 5837 </v>
      </c>
      <c r="B18" s="3" t="str">
        <f t="shared" si="1"/>
        <v>II</v>
      </c>
      <c r="C18" s="10">
        <f t="shared" si="2"/>
        <v>54407.346799999999</v>
      </c>
      <c r="D18" s="12" t="str">
        <f t="shared" si="3"/>
        <v>vis</v>
      </c>
      <c r="E18" s="55">
        <f>VLOOKUP(C18,Active!C$21:E$973,3,FALSE)</f>
        <v>7407.4945415771117</v>
      </c>
      <c r="F18" s="3" t="s">
        <v>68</v>
      </c>
      <c r="G18" s="12" t="str">
        <f t="shared" si="4"/>
        <v>54407.3468</v>
      </c>
      <c r="H18" s="10">
        <f t="shared" si="5"/>
        <v>5379.5</v>
      </c>
      <c r="I18" s="56" t="s">
        <v>127</v>
      </c>
      <c r="J18" s="57" t="s">
        <v>128</v>
      </c>
      <c r="K18" s="56" t="s">
        <v>129</v>
      </c>
      <c r="L18" s="56" t="s">
        <v>130</v>
      </c>
      <c r="M18" s="57" t="s">
        <v>118</v>
      </c>
      <c r="N18" s="57" t="s">
        <v>60</v>
      </c>
      <c r="O18" s="58" t="s">
        <v>75</v>
      </c>
      <c r="P18" s="59" t="s">
        <v>131</v>
      </c>
    </row>
    <row r="19" spans="1:16" ht="12.75" customHeight="1" thickBot="1" x14ac:dyDescent="0.25">
      <c r="A19" s="10" t="str">
        <f t="shared" si="0"/>
        <v>BAVM 215 </v>
      </c>
      <c r="B19" s="3" t="str">
        <f t="shared" si="1"/>
        <v>I</v>
      </c>
      <c r="C19" s="10">
        <f t="shared" si="2"/>
        <v>55418.549099999997</v>
      </c>
      <c r="D19" s="12" t="str">
        <f t="shared" si="3"/>
        <v>vis</v>
      </c>
      <c r="E19" s="55">
        <f>VLOOKUP(C19,Active!C$21:E$973,3,FALSE)</f>
        <v>10259.985387787801</v>
      </c>
      <c r="F19" s="3" t="s">
        <v>68</v>
      </c>
      <c r="G19" s="12" t="str">
        <f t="shared" si="4"/>
        <v>55418.5491</v>
      </c>
      <c r="H19" s="10">
        <f t="shared" si="5"/>
        <v>8232</v>
      </c>
      <c r="I19" s="56" t="s">
        <v>132</v>
      </c>
      <c r="J19" s="57" t="s">
        <v>133</v>
      </c>
      <c r="K19" s="56" t="s">
        <v>134</v>
      </c>
      <c r="L19" s="56" t="s">
        <v>135</v>
      </c>
      <c r="M19" s="57" t="s">
        <v>118</v>
      </c>
      <c r="N19" s="57" t="s">
        <v>124</v>
      </c>
      <c r="O19" s="58" t="s">
        <v>125</v>
      </c>
      <c r="P19" s="59" t="s">
        <v>136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II</v>
      </c>
      <c r="C20" s="10">
        <f t="shared" si="2"/>
        <v>55687.4421</v>
      </c>
      <c r="D20" s="12" t="str">
        <f t="shared" si="3"/>
        <v>vis</v>
      </c>
      <c r="E20" s="55">
        <f>VLOOKUP(C20,Active!C$21:E$973,3,FALSE)</f>
        <v>11018.50306630786</v>
      </c>
      <c r="F20" s="3" t="s">
        <v>68</v>
      </c>
      <c r="G20" s="12" t="str">
        <f t="shared" si="4"/>
        <v>55687.4421</v>
      </c>
      <c r="H20" s="10">
        <f t="shared" si="5"/>
        <v>8990.5</v>
      </c>
      <c r="I20" s="56" t="s">
        <v>137</v>
      </c>
      <c r="J20" s="57" t="s">
        <v>138</v>
      </c>
      <c r="K20" s="56" t="s">
        <v>139</v>
      </c>
      <c r="L20" s="56" t="s">
        <v>140</v>
      </c>
      <c r="M20" s="57" t="s">
        <v>118</v>
      </c>
      <c r="N20" s="57" t="s">
        <v>124</v>
      </c>
      <c r="O20" s="58" t="s">
        <v>125</v>
      </c>
      <c r="P20" s="59" t="s">
        <v>141</v>
      </c>
    </row>
    <row r="21" spans="1:16" ht="12.75" customHeight="1" thickBot="1" x14ac:dyDescent="0.25">
      <c r="A21" s="10" t="str">
        <f t="shared" si="0"/>
        <v>BAVM 231 </v>
      </c>
      <c r="B21" s="3" t="str">
        <f t="shared" si="1"/>
        <v>I</v>
      </c>
      <c r="C21" s="10">
        <f t="shared" si="2"/>
        <v>56186.406999999999</v>
      </c>
      <c r="D21" s="12" t="str">
        <f t="shared" si="3"/>
        <v>vis</v>
      </c>
      <c r="E21" s="55">
        <f>VLOOKUP(C21,Active!C$21:E$973,3,FALSE)</f>
        <v>12426.028355590166</v>
      </c>
      <c r="F21" s="3" t="s">
        <v>68</v>
      </c>
      <c r="G21" s="12" t="str">
        <f t="shared" si="4"/>
        <v>56186.4070</v>
      </c>
      <c r="H21" s="10">
        <f t="shared" si="5"/>
        <v>10398</v>
      </c>
      <c r="I21" s="56" t="s">
        <v>142</v>
      </c>
      <c r="J21" s="57" t="s">
        <v>143</v>
      </c>
      <c r="K21" s="56" t="s">
        <v>144</v>
      </c>
      <c r="L21" s="56" t="s">
        <v>145</v>
      </c>
      <c r="M21" s="57" t="s">
        <v>118</v>
      </c>
      <c r="N21" s="57" t="s">
        <v>146</v>
      </c>
      <c r="O21" s="58" t="s">
        <v>147</v>
      </c>
      <c r="P21" s="59" t="s">
        <v>148</v>
      </c>
    </row>
    <row r="22" spans="1:16" ht="12.75" customHeight="1" thickBot="1" x14ac:dyDescent="0.25">
      <c r="A22" s="10" t="str">
        <f t="shared" si="0"/>
        <v>BAVM 231 </v>
      </c>
      <c r="B22" s="3" t="str">
        <f t="shared" si="1"/>
        <v>II</v>
      </c>
      <c r="C22" s="10">
        <f t="shared" si="2"/>
        <v>56186.587399999997</v>
      </c>
      <c r="D22" s="12" t="str">
        <f t="shared" si="3"/>
        <v>vis</v>
      </c>
      <c r="E22" s="55">
        <f>VLOOKUP(C22,Active!C$21:E$973,3,FALSE)</f>
        <v>12426.537244215766</v>
      </c>
      <c r="F22" s="3" t="s">
        <v>68</v>
      </c>
      <c r="G22" s="12" t="str">
        <f t="shared" si="4"/>
        <v>56186.5874</v>
      </c>
      <c r="H22" s="10">
        <f t="shared" si="5"/>
        <v>10398.5</v>
      </c>
      <c r="I22" s="56" t="s">
        <v>149</v>
      </c>
      <c r="J22" s="57" t="s">
        <v>150</v>
      </c>
      <c r="K22" s="56" t="s">
        <v>151</v>
      </c>
      <c r="L22" s="56" t="s">
        <v>152</v>
      </c>
      <c r="M22" s="57" t="s">
        <v>118</v>
      </c>
      <c r="N22" s="57" t="s">
        <v>146</v>
      </c>
      <c r="O22" s="58" t="s">
        <v>147</v>
      </c>
      <c r="P22" s="59" t="s">
        <v>148</v>
      </c>
    </row>
    <row r="23" spans="1:16" ht="12.75" customHeight="1" thickBot="1" x14ac:dyDescent="0.25">
      <c r="A23" s="10" t="str">
        <f t="shared" si="0"/>
        <v>IBVS 6125 </v>
      </c>
      <c r="B23" s="3" t="str">
        <f t="shared" si="1"/>
        <v>II</v>
      </c>
      <c r="C23" s="10">
        <f t="shared" si="2"/>
        <v>56483.2961</v>
      </c>
      <c r="D23" s="12" t="str">
        <f t="shared" si="3"/>
        <v>vis</v>
      </c>
      <c r="E23" s="55">
        <f>VLOOKUP(C23,Active!C$21:E$973,3,FALSE)</f>
        <v>13263.519963441269</v>
      </c>
      <c r="F23" s="3" t="s">
        <v>68</v>
      </c>
      <c r="G23" s="12" t="str">
        <f t="shared" si="4"/>
        <v>56483.2961</v>
      </c>
      <c r="H23" s="10">
        <f t="shared" si="5"/>
        <v>11235.5</v>
      </c>
      <c r="I23" s="56" t="s">
        <v>153</v>
      </c>
      <c r="J23" s="57" t="s">
        <v>154</v>
      </c>
      <c r="K23" s="56" t="s">
        <v>155</v>
      </c>
      <c r="L23" s="56" t="s">
        <v>156</v>
      </c>
      <c r="M23" s="57" t="s">
        <v>118</v>
      </c>
      <c r="N23" s="57" t="s">
        <v>157</v>
      </c>
      <c r="O23" s="58" t="s">
        <v>158</v>
      </c>
      <c r="P23" s="59" t="s">
        <v>159</v>
      </c>
    </row>
    <row r="24" spans="1:16" ht="12.75" customHeight="1" thickBot="1" x14ac:dyDescent="0.25">
      <c r="A24" s="10" t="str">
        <f t="shared" si="0"/>
        <v>IBVS 6125 </v>
      </c>
      <c r="B24" s="3" t="str">
        <f t="shared" si="1"/>
        <v>I</v>
      </c>
      <c r="C24" s="10">
        <f t="shared" si="2"/>
        <v>56499.430999999997</v>
      </c>
      <c r="D24" s="12" t="str">
        <f t="shared" si="3"/>
        <v>vis</v>
      </c>
      <c r="E24" s="55">
        <f>VLOOKUP(C24,Active!C$21:E$973,3,FALSE)</f>
        <v>13309.034747727774</v>
      </c>
      <c r="F24" s="3" t="s">
        <v>68</v>
      </c>
      <c r="G24" s="12" t="str">
        <f t="shared" si="4"/>
        <v>56499.4310</v>
      </c>
      <c r="H24" s="10">
        <f t="shared" si="5"/>
        <v>11281</v>
      </c>
      <c r="I24" s="56" t="s">
        <v>160</v>
      </c>
      <c r="J24" s="57" t="s">
        <v>161</v>
      </c>
      <c r="K24" s="56" t="s">
        <v>162</v>
      </c>
      <c r="L24" s="56" t="s">
        <v>163</v>
      </c>
      <c r="M24" s="57" t="s">
        <v>118</v>
      </c>
      <c r="N24" s="57" t="s">
        <v>157</v>
      </c>
      <c r="O24" s="58" t="s">
        <v>164</v>
      </c>
      <c r="P24" s="59" t="s">
        <v>159</v>
      </c>
    </row>
    <row r="25" spans="1:16" ht="12.75" customHeight="1" thickBot="1" x14ac:dyDescent="0.25">
      <c r="A25" s="10" t="str">
        <f t="shared" si="0"/>
        <v> BBS 123 </v>
      </c>
      <c r="B25" s="3" t="str">
        <f t="shared" si="1"/>
        <v>II</v>
      </c>
      <c r="C25" s="10">
        <f t="shared" si="2"/>
        <v>51766.343399999998</v>
      </c>
      <c r="D25" s="12" t="str">
        <f t="shared" si="3"/>
        <v>vis</v>
      </c>
      <c r="E25" s="55">
        <f>VLOOKUP(C25,Active!C$21:E$973,3,FALSE)</f>
        <v>-42.486558457307758</v>
      </c>
      <c r="F25" s="3" t="s">
        <v>68</v>
      </c>
      <c r="G25" s="12" t="str">
        <f t="shared" si="4"/>
        <v>51766.3434</v>
      </c>
      <c r="H25" s="10">
        <f t="shared" si="5"/>
        <v>-2070.5</v>
      </c>
      <c r="I25" s="56" t="s">
        <v>70</v>
      </c>
      <c r="J25" s="57" t="s">
        <v>71</v>
      </c>
      <c r="K25" s="56">
        <v>-2070.5</v>
      </c>
      <c r="L25" s="56" t="s">
        <v>72</v>
      </c>
      <c r="M25" s="57" t="s">
        <v>73</v>
      </c>
      <c r="N25" s="57" t="s">
        <v>74</v>
      </c>
      <c r="O25" s="58" t="s">
        <v>75</v>
      </c>
      <c r="P25" s="58" t="s">
        <v>76</v>
      </c>
    </row>
    <row r="26" spans="1:16" ht="12.75" customHeight="1" thickBot="1" x14ac:dyDescent="0.25">
      <c r="A26" s="10" t="str">
        <f t="shared" si="0"/>
        <v> BBS 123 </v>
      </c>
      <c r="B26" s="3" t="str">
        <f t="shared" si="1"/>
        <v>I</v>
      </c>
      <c r="C26" s="10">
        <f t="shared" si="2"/>
        <v>51766.517999999996</v>
      </c>
      <c r="D26" s="12" t="str">
        <f t="shared" si="3"/>
        <v>vis</v>
      </c>
      <c r="E26" s="55">
        <f>VLOOKUP(C26,Active!C$21:E$973,3,FALSE)</f>
        <v>-41.994030995944186</v>
      </c>
      <c r="F26" s="3" t="s">
        <v>68</v>
      </c>
      <c r="G26" s="12" t="str">
        <f t="shared" si="4"/>
        <v>51766.5180</v>
      </c>
      <c r="H26" s="10">
        <f t="shared" si="5"/>
        <v>-2070</v>
      </c>
      <c r="I26" s="56" t="s">
        <v>77</v>
      </c>
      <c r="J26" s="57" t="s">
        <v>78</v>
      </c>
      <c r="K26" s="56">
        <v>-2070</v>
      </c>
      <c r="L26" s="56" t="s">
        <v>79</v>
      </c>
      <c r="M26" s="57" t="s">
        <v>73</v>
      </c>
      <c r="N26" s="57" t="s">
        <v>74</v>
      </c>
      <c r="O26" s="58" t="s">
        <v>75</v>
      </c>
      <c r="P26" s="58" t="s">
        <v>76</v>
      </c>
    </row>
    <row r="27" spans="1:16" ht="12.75" customHeight="1" thickBot="1" x14ac:dyDescent="0.25">
      <c r="A27" s="10" t="str">
        <f t="shared" si="0"/>
        <v> BBS 123 </v>
      </c>
      <c r="B27" s="3" t="str">
        <f t="shared" si="1"/>
        <v>I</v>
      </c>
      <c r="C27" s="10">
        <f t="shared" si="2"/>
        <v>51771.478999999999</v>
      </c>
      <c r="D27" s="12" t="str">
        <f t="shared" si="3"/>
        <v>vis</v>
      </c>
      <c r="E27" s="55">
        <f>VLOOKUP(C27,Active!C$21:E$973,3,FALSE)</f>
        <v>-27.999593791776689</v>
      </c>
      <c r="F27" s="3" t="s">
        <v>68</v>
      </c>
      <c r="G27" s="12" t="str">
        <f t="shared" si="4"/>
        <v>51771.4790</v>
      </c>
      <c r="H27" s="10">
        <f t="shared" si="5"/>
        <v>-2056</v>
      </c>
      <c r="I27" s="56" t="s">
        <v>80</v>
      </c>
      <c r="J27" s="57" t="s">
        <v>81</v>
      </c>
      <c r="K27" s="56">
        <v>-2056</v>
      </c>
      <c r="L27" s="56" t="s">
        <v>82</v>
      </c>
      <c r="M27" s="57" t="s">
        <v>73</v>
      </c>
      <c r="N27" s="57" t="s">
        <v>74</v>
      </c>
      <c r="O27" s="58" t="s">
        <v>75</v>
      </c>
      <c r="P27" s="58" t="s">
        <v>76</v>
      </c>
    </row>
    <row r="28" spans="1:16" ht="12.75" customHeight="1" thickBot="1" x14ac:dyDescent="0.25">
      <c r="A28" s="10" t="str">
        <f t="shared" si="0"/>
        <v> BBS 123 </v>
      </c>
      <c r="B28" s="3" t="str">
        <f t="shared" si="1"/>
        <v>I</v>
      </c>
      <c r="C28" s="10">
        <f t="shared" si="2"/>
        <v>51781.404799999997</v>
      </c>
      <c r="D28" s="12" t="str">
        <f t="shared" si="3"/>
        <v>vis</v>
      </c>
      <c r="E28" s="55">
        <f>VLOOKUP(C28,Active!C$21:E$973,3,FALSE)</f>
        <v>0</v>
      </c>
      <c r="F28" s="3" t="s">
        <v>68</v>
      </c>
      <c r="G28" s="12" t="str">
        <f t="shared" si="4"/>
        <v>51781.4048</v>
      </c>
      <c r="H28" s="10">
        <f t="shared" si="5"/>
        <v>-2028</v>
      </c>
      <c r="I28" s="56" t="s">
        <v>83</v>
      </c>
      <c r="J28" s="57" t="s">
        <v>84</v>
      </c>
      <c r="K28" s="56">
        <v>-2028</v>
      </c>
      <c r="L28" s="56" t="s">
        <v>85</v>
      </c>
      <c r="M28" s="57" t="s">
        <v>73</v>
      </c>
      <c r="N28" s="57" t="s">
        <v>74</v>
      </c>
      <c r="O28" s="58" t="s">
        <v>75</v>
      </c>
      <c r="P28" s="58" t="s">
        <v>76</v>
      </c>
    </row>
    <row r="29" spans="1:16" ht="12.75" customHeight="1" thickBot="1" x14ac:dyDescent="0.25">
      <c r="A29" s="10" t="str">
        <f t="shared" si="0"/>
        <v> BBS 123 </v>
      </c>
      <c r="B29" s="3" t="str">
        <f t="shared" si="1"/>
        <v>II</v>
      </c>
      <c r="C29" s="10">
        <f t="shared" si="2"/>
        <v>51781.585200000001</v>
      </c>
      <c r="D29" s="12" t="str">
        <f t="shared" si="3"/>
        <v>vis</v>
      </c>
      <c r="E29" s="55">
        <f>VLOOKUP(C29,Active!C$21:E$973,3,FALSE)</f>
        <v>0.50888862561915194</v>
      </c>
      <c r="F29" s="3" t="s">
        <v>68</v>
      </c>
      <c r="G29" s="12" t="str">
        <f t="shared" si="4"/>
        <v>51781.5852</v>
      </c>
      <c r="H29" s="10">
        <f t="shared" si="5"/>
        <v>-2027.5</v>
      </c>
      <c r="I29" s="56" t="s">
        <v>86</v>
      </c>
      <c r="J29" s="57" t="s">
        <v>87</v>
      </c>
      <c r="K29" s="56">
        <v>-2027.5</v>
      </c>
      <c r="L29" s="56" t="s">
        <v>88</v>
      </c>
      <c r="M29" s="57" t="s">
        <v>73</v>
      </c>
      <c r="N29" s="57" t="s">
        <v>74</v>
      </c>
      <c r="O29" s="58" t="s">
        <v>75</v>
      </c>
      <c r="P29" s="58" t="s">
        <v>76</v>
      </c>
    </row>
    <row r="30" spans="1:16" ht="12.75" customHeight="1" thickBot="1" x14ac:dyDescent="0.25">
      <c r="A30" s="10" t="str">
        <f t="shared" si="0"/>
        <v> BBS 126 </v>
      </c>
      <c r="B30" s="3" t="str">
        <f t="shared" si="1"/>
        <v>I</v>
      </c>
      <c r="C30" s="10">
        <f t="shared" si="2"/>
        <v>52112.498599999999</v>
      </c>
      <c r="D30" s="12" t="str">
        <f t="shared" si="3"/>
        <v>vis</v>
      </c>
      <c r="E30" s="55">
        <f>VLOOKUP(C30,Active!C$21:E$973,3,FALSE)</f>
        <v>933.97931723169779</v>
      </c>
      <c r="F30" s="3" t="s">
        <v>68</v>
      </c>
      <c r="G30" s="12" t="str">
        <f t="shared" si="4"/>
        <v>52112.4986</v>
      </c>
      <c r="H30" s="10">
        <f t="shared" si="5"/>
        <v>-1094</v>
      </c>
      <c r="I30" s="56" t="s">
        <v>89</v>
      </c>
      <c r="J30" s="57" t="s">
        <v>90</v>
      </c>
      <c r="K30" s="56">
        <v>-1094</v>
      </c>
      <c r="L30" s="56" t="s">
        <v>91</v>
      </c>
      <c r="M30" s="57" t="s">
        <v>73</v>
      </c>
      <c r="N30" s="57" t="s">
        <v>74</v>
      </c>
      <c r="O30" s="58" t="s">
        <v>75</v>
      </c>
      <c r="P30" s="58" t="s">
        <v>92</v>
      </c>
    </row>
    <row r="31" spans="1:16" ht="12.75" customHeight="1" thickBot="1" x14ac:dyDescent="0.25">
      <c r="A31" s="10" t="str">
        <f t="shared" si="0"/>
        <v> BBS 128 </v>
      </c>
      <c r="B31" s="3" t="str">
        <f t="shared" si="1"/>
        <v>II</v>
      </c>
      <c r="C31" s="10">
        <f t="shared" si="2"/>
        <v>52443.43</v>
      </c>
      <c r="D31" s="12" t="str">
        <f t="shared" si="3"/>
        <v>vis</v>
      </c>
      <c r="E31" s="55">
        <f>VLOOKUP(C31,Active!C$21:E$973,3,FALSE)</f>
        <v>1867.5005218647318</v>
      </c>
      <c r="F31" s="3" t="s">
        <v>68</v>
      </c>
      <c r="G31" s="12" t="str">
        <f t="shared" si="4"/>
        <v>52443.430</v>
      </c>
      <c r="H31" s="10">
        <f t="shared" si="5"/>
        <v>-160.5</v>
      </c>
      <c r="I31" s="56" t="s">
        <v>93</v>
      </c>
      <c r="J31" s="57" t="s">
        <v>94</v>
      </c>
      <c r="K31" s="56">
        <v>-160.5</v>
      </c>
      <c r="L31" s="56" t="s">
        <v>95</v>
      </c>
      <c r="M31" s="57" t="s">
        <v>73</v>
      </c>
      <c r="N31" s="57" t="s">
        <v>74</v>
      </c>
      <c r="O31" s="58" t="s">
        <v>75</v>
      </c>
      <c r="P31" s="58" t="s">
        <v>96</v>
      </c>
    </row>
    <row r="32" spans="1:16" x14ac:dyDescent="0.2">
      <c r="B32" s="3"/>
      <c r="E32" s="55"/>
      <c r="F32" s="3"/>
    </row>
    <row r="33" spans="2:6" x14ac:dyDescent="0.2">
      <c r="B33" s="3"/>
      <c r="E33" s="55"/>
      <c r="F33" s="3"/>
    </row>
    <row r="34" spans="2:6" x14ac:dyDescent="0.2">
      <c r="B34" s="3"/>
      <c r="E34" s="55"/>
      <c r="F34" s="3"/>
    </row>
    <row r="35" spans="2:6" x14ac:dyDescent="0.2">
      <c r="B35" s="3"/>
      <c r="E35" s="55"/>
      <c r="F35" s="3"/>
    </row>
    <row r="36" spans="2:6" x14ac:dyDescent="0.2">
      <c r="B36" s="3"/>
      <c r="E36" s="55"/>
      <c r="F36" s="3"/>
    </row>
    <row r="37" spans="2:6" x14ac:dyDescent="0.2">
      <c r="B37" s="3"/>
      <c r="E37" s="55"/>
      <c r="F37" s="3"/>
    </row>
    <row r="38" spans="2:6" x14ac:dyDescent="0.2">
      <c r="B38" s="3"/>
      <c r="E38" s="55"/>
      <c r="F38" s="3"/>
    </row>
    <row r="39" spans="2:6" x14ac:dyDescent="0.2">
      <c r="B39" s="3"/>
      <c r="E39" s="55"/>
      <c r="F39" s="3"/>
    </row>
    <row r="40" spans="2:6" x14ac:dyDescent="0.2">
      <c r="B40" s="3"/>
      <c r="E40" s="55"/>
      <c r="F40" s="3"/>
    </row>
    <row r="41" spans="2:6" x14ac:dyDescent="0.2">
      <c r="B41" s="3"/>
      <c r="E41" s="55"/>
      <c r="F41" s="3"/>
    </row>
    <row r="42" spans="2:6" x14ac:dyDescent="0.2">
      <c r="B42" s="3"/>
      <c r="E42" s="55"/>
      <c r="F42" s="3"/>
    </row>
    <row r="43" spans="2:6" x14ac:dyDescent="0.2">
      <c r="B43" s="3"/>
      <c r="E43" s="55"/>
      <c r="F43" s="3"/>
    </row>
    <row r="44" spans="2:6" x14ac:dyDescent="0.2">
      <c r="B44" s="3"/>
      <c r="E44" s="55"/>
      <c r="F44" s="3"/>
    </row>
    <row r="45" spans="2:6" x14ac:dyDescent="0.2">
      <c r="B45" s="3"/>
      <c r="E45" s="55"/>
      <c r="F45" s="3"/>
    </row>
    <row r="46" spans="2:6" x14ac:dyDescent="0.2">
      <c r="B46" s="3"/>
      <c r="E46" s="55"/>
      <c r="F46" s="3"/>
    </row>
    <row r="47" spans="2:6" x14ac:dyDescent="0.2">
      <c r="B47" s="3"/>
      <c r="E47" s="55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</sheetData>
  <phoneticPr fontId="7" type="noConversion"/>
  <hyperlinks>
    <hyperlink ref="P12" r:id="rId1" display="http://www.konkoly.hu/cgi-bin/IBVS?5653"/>
    <hyperlink ref="P13" r:id="rId2" display="http://www.konkoly.hu/cgi-bin/IBVS?5653"/>
    <hyperlink ref="P14" r:id="rId3" display="http://www.konkoly.hu/cgi-bin/IBVS?5713"/>
    <hyperlink ref="P15" r:id="rId4" display="http://www.konkoly.hu/cgi-bin/IBVS?5713"/>
    <hyperlink ref="P17" r:id="rId5" display="http://www.bav-astro.de/sfs/BAVM_link.php?BAVMnr=183"/>
    <hyperlink ref="P18" r:id="rId6" display="http://www.konkoly.hu/cgi-bin/IBVS?5837"/>
    <hyperlink ref="P19" r:id="rId7" display="http://www.bav-astro.de/sfs/BAVM_link.php?BAVMnr=215"/>
    <hyperlink ref="P20" r:id="rId8" display="http://www.bav-astro.de/sfs/BAVM_link.php?BAVMnr=220"/>
    <hyperlink ref="P21" r:id="rId9" display="http://www.bav-astro.de/sfs/BAVM_link.php?BAVMnr=231"/>
    <hyperlink ref="P22" r:id="rId10" display="http://www.bav-astro.de/sfs/BAVM_link.php?BAVMnr=231"/>
    <hyperlink ref="P23" r:id="rId11" display="http://www.konkoly.hu/cgi-bin/IBVS?6125"/>
    <hyperlink ref="P24" r:id="rId12" display="http://www.konkoly.hu/cgi-bin/IBVS?6125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31</v>
      </c>
      <c r="D4" s="9" t="s">
        <v>31</v>
      </c>
    </row>
    <row r="6" spans="1:7" x14ac:dyDescent="0.2">
      <c r="A6" s="5" t="s">
        <v>1</v>
      </c>
    </row>
    <row r="7" spans="1:7" x14ac:dyDescent="0.2">
      <c r="A7" t="s">
        <v>2</v>
      </c>
      <c r="C7">
        <v>51781.404799999997</v>
      </c>
    </row>
    <row r="8" spans="1:7" x14ac:dyDescent="0.2">
      <c r="A8" t="s">
        <v>3</v>
      </c>
      <c r="C8">
        <v>0.35449199999999997</v>
      </c>
      <c r="D8" s="39" t="s">
        <v>57</v>
      </c>
    </row>
    <row r="9" spans="1:7" x14ac:dyDescent="0.2">
      <c r="A9" s="11" t="s">
        <v>33</v>
      </c>
      <c r="B9" s="12"/>
      <c r="C9" s="13">
        <v>8</v>
      </c>
      <c r="D9" s="12" t="s">
        <v>34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30">
        <f ca="1">INTERCEPT(INDIRECT($G$11):G992,INDIRECT($F$11):F992)</f>
        <v>1.2308619728843902E-2</v>
      </c>
      <c r="D11" s="3"/>
      <c r="E11" s="12"/>
      <c r="F11" s="31" t="str">
        <f>"F"&amp;E19</f>
        <v>F21</v>
      </c>
      <c r="G11" s="32" t="str">
        <f>"G"&amp;E19</f>
        <v>G21</v>
      </c>
    </row>
    <row r="12" spans="1:7" x14ac:dyDescent="0.2">
      <c r="A12" s="12" t="s">
        <v>17</v>
      </c>
      <c r="B12" s="12"/>
      <c r="C12" s="30">
        <f ca="1">SLOPE(INDIRECT($G$11):G992,INDIRECT($F$11):F992)</f>
        <v>5.69490105037089E-6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48</v>
      </c>
      <c r="E13" s="13">
        <v>1</v>
      </c>
    </row>
    <row r="14" spans="1:7" x14ac:dyDescent="0.2">
      <c r="A14" s="12"/>
      <c r="B14" s="12"/>
      <c r="C14" s="12"/>
      <c r="D14" s="16" t="s">
        <v>35</v>
      </c>
      <c r="E14" s="17">
        <f ca="1">NOW()+15018.5+$C$9/24</f>
        <v>60347.414000694444</v>
      </c>
    </row>
    <row r="15" spans="1:7" x14ac:dyDescent="0.2">
      <c r="A15" s="14" t="s">
        <v>18</v>
      </c>
      <c r="B15" s="12"/>
      <c r="C15" s="15">
        <f ca="1">(C7+C11)+(C8+C12)*INT(MAX(F21:F3533))</f>
        <v>56499.426930057802</v>
      </c>
      <c r="D15" s="16" t="s">
        <v>49</v>
      </c>
      <c r="E15" s="17">
        <f ca="1">ROUND(2*(E14-$C$7)/$C$8,0)/2+E13</f>
        <v>24165</v>
      </c>
    </row>
    <row r="16" spans="1:7" x14ac:dyDescent="0.2">
      <c r="A16" s="18" t="s">
        <v>4</v>
      </c>
      <c r="B16" s="12"/>
      <c r="C16" s="19">
        <f ca="1">+C8+C12</f>
        <v>0.35449769490105032</v>
      </c>
      <c r="D16" s="16" t="s">
        <v>36</v>
      </c>
      <c r="E16" s="32">
        <f ca="1">ROUND(2*(E14-$C$15)/$C$16,0)/2+E13</f>
        <v>10856</v>
      </c>
    </row>
    <row r="17" spans="1:18" ht="13.5" thickBot="1" x14ac:dyDescent="0.25">
      <c r="A17" s="16" t="s">
        <v>32</v>
      </c>
      <c r="B17" s="12"/>
      <c r="C17" s="12">
        <f>COUNT(C21:C2191)</f>
        <v>13</v>
      </c>
      <c r="D17" s="16" t="s">
        <v>37</v>
      </c>
      <c r="E17" s="20">
        <f ca="1">+$C$15+$C$16*E16-15018.5-$C$9/24</f>
        <v>45329.020572570269</v>
      </c>
    </row>
    <row r="18" spans="1:18" ht="14.25" thickTop="1" thickBot="1" x14ac:dyDescent="0.25">
      <c r="A18" s="18" t="s">
        <v>5</v>
      </c>
      <c r="B18" s="12"/>
      <c r="C18" s="21">
        <f ca="1">+C15</f>
        <v>56499.426930057802</v>
      </c>
      <c r="D18" s="22">
        <f ca="1">+C16</f>
        <v>0.35449769490105032</v>
      </c>
      <c r="E18" s="23" t="s">
        <v>38</v>
      </c>
      <c r="R18">
        <f ca="1">SQRT(SUM(R21:R33))</f>
        <v>1.9111366463927068E-2</v>
      </c>
    </row>
    <row r="19" spans="1:18" ht="13.5" thickTop="1" x14ac:dyDescent="0.2">
      <c r="A19" s="33" t="s">
        <v>50</v>
      </c>
      <c r="E19" s="34">
        <v>21</v>
      </c>
    </row>
    <row r="20" spans="1:18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  <c r="R20" s="45" t="s">
        <v>56</v>
      </c>
    </row>
    <row r="21" spans="1:18" x14ac:dyDescent="0.2">
      <c r="A21" s="24" t="s">
        <v>41</v>
      </c>
      <c r="B21" s="25" t="s">
        <v>42</v>
      </c>
      <c r="C21" s="24">
        <v>52820.444300000003</v>
      </c>
      <c r="D21" s="26">
        <v>4.0000000000000002E-4</v>
      </c>
      <c r="E21">
        <f t="shared" ref="E21:E33" si="0">+(C21-C$7)/C$8</f>
        <v>2931.066145357318</v>
      </c>
      <c r="F21">
        <f t="shared" ref="F21:F32" si="1">ROUND(2*E21,0)/2</f>
        <v>2931</v>
      </c>
      <c r="G21">
        <f t="shared" ref="G21:G33" si="2">+C21-(C$7+F21*C$8)</f>
        <v>2.3448000007192604E-2</v>
      </c>
      <c r="H21">
        <f t="shared" ref="H21:H33" si="3">+G21</f>
        <v>2.3448000007192604E-2</v>
      </c>
      <c r="O21">
        <f t="shared" ref="O21:O33" ca="1" si="4">+C$11+C$12*$F21</f>
        <v>2.9000374707480979E-2</v>
      </c>
      <c r="Q21" s="2">
        <f t="shared" ref="Q21:Q33" si="5">+C21-15018.5</f>
        <v>37801.944300000003</v>
      </c>
      <c r="R21">
        <f ca="1">(G21-O21)^2</f>
        <v>3.0828864812402419E-5</v>
      </c>
    </row>
    <row r="22" spans="1:18" x14ac:dyDescent="0.2">
      <c r="A22" s="27" t="s">
        <v>43</v>
      </c>
      <c r="B22" s="28" t="s">
        <v>44</v>
      </c>
      <c r="C22" s="29">
        <v>53233.442999999999</v>
      </c>
      <c r="D22" s="29">
        <v>4.0000000000000001E-3</v>
      </c>
      <c r="E22">
        <f t="shared" si="0"/>
        <v>4096.1099263171036</v>
      </c>
      <c r="F22">
        <f t="shared" si="1"/>
        <v>4096</v>
      </c>
      <c r="G22">
        <f t="shared" si="2"/>
        <v>3.896800000075018E-2</v>
      </c>
      <c r="H22">
        <f t="shared" si="3"/>
        <v>3.896800000075018E-2</v>
      </c>
      <c r="O22">
        <f t="shared" ca="1" si="4"/>
        <v>3.5634934431163071E-2</v>
      </c>
      <c r="Q22" s="2">
        <f t="shared" si="5"/>
        <v>38214.942999999999</v>
      </c>
      <c r="R22">
        <f t="shared" ref="R22:R33" ca="1" si="6">(G22-O22)^2</f>
        <v>1.1109326091167044E-5</v>
      </c>
    </row>
    <row r="23" spans="1:18" x14ac:dyDescent="0.2">
      <c r="A23" s="27" t="s">
        <v>43</v>
      </c>
      <c r="B23" s="28" t="s">
        <v>42</v>
      </c>
      <c r="C23" s="29">
        <v>53251.3485</v>
      </c>
      <c r="D23" s="29">
        <v>1.4E-3</v>
      </c>
      <c r="E23">
        <f t="shared" si="0"/>
        <v>4146.6202340250375</v>
      </c>
      <c r="F23">
        <f t="shared" si="1"/>
        <v>4146.5</v>
      </c>
      <c r="G23">
        <f t="shared" si="2"/>
        <v>4.2622000000847038E-2</v>
      </c>
      <c r="H23">
        <f t="shared" si="3"/>
        <v>4.2622000000847038E-2</v>
      </c>
      <c r="O23">
        <f t="shared" ca="1" si="4"/>
        <v>3.5922526934206798E-2</v>
      </c>
      <c r="Q23" s="2">
        <f t="shared" si="5"/>
        <v>38232.8485</v>
      </c>
      <c r="R23">
        <f t="shared" ca="1" si="6"/>
        <v>4.4882939370637972E-5</v>
      </c>
    </row>
    <row r="24" spans="1:18" x14ac:dyDescent="0.2">
      <c r="A24" s="27" t="s">
        <v>45</v>
      </c>
      <c r="B24" s="28" t="s">
        <v>42</v>
      </c>
      <c r="C24" s="29">
        <v>53652.284</v>
      </c>
      <c r="D24" s="29">
        <v>8.0000000000000002E-3</v>
      </c>
      <c r="E24">
        <f t="shared" si="0"/>
        <v>5277.6344741207222</v>
      </c>
      <c r="F24">
        <f t="shared" si="1"/>
        <v>5277.5</v>
      </c>
      <c r="G24">
        <f t="shared" si="2"/>
        <v>4.7669999999925494E-2</v>
      </c>
      <c r="H24">
        <f t="shared" si="3"/>
        <v>4.7669999999925494E-2</v>
      </c>
      <c r="O24">
        <f t="shared" ca="1" si="4"/>
        <v>4.2363460022176273E-2</v>
      </c>
      <c r="Q24" s="2">
        <f t="shared" si="5"/>
        <v>38633.784</v>
      </c>
      <c r="R24">
        <f t="shared" ca="1" si="6"/>
        <v>2.8159366535450702E-5</v>
      </c>
    </row>
    <row r="25" spans="1:18" x14ac:dyDescent="0.2">
      <c r="A25" s="27" t="s">
        <v>45</v>
      </c>
      <c r="B25" s="28" t="s">
        <v>44</v>
      </c>
      <c r="C25" s="29">
        <v>53652.455499999996</v>
      </c>
      <c r="D25" s="29">
        <v>2.2000000000000001E-3</v>
      </c>
      <c r="E25">
        <f t="shared" si="0"/>
        <v>5278.1182650102119</v>
      </c>
      <c r="F25">
        <f t="shared" si="1"/>
        <v>5278</v>
      </c>
      <c r="G25">
        <f t="shared" si="2"/>
        <v>4.1923999997379724E-2</v>
      </c>
      <c r="H25">
        <f t="shared" si="3"/>
        <v>4.1923999997379724E-2</v>
      </c>
      <c r="O25">
        <f t="shared" ca="1" si="4"/>
        <v>4.236630747270146E-2</v>
      </c>
      <c r="Q25" s="2">
        <f t="shared" si="5"/>
        <v>38633.955499999996</v>
      </c>
      <c r="R25">
        <f t="shared" ca="1" si="6"/>
        <v>1.9563590272548833E-7</v>
      </c>
    </row>
    <row r="26" spans="1:18" x14ac:dyDescent="0.2">
      <c r="A26" s="24" t="s">
        <v>46</v>
      </c>
      <c r="B26" s="28" t="s">
        <v>42</v>
      </c>
      <c r="C26" s="29">
        <v>54019.3626</v>
      </c>
      <c r="D26" s="29">
        <v>1.1000000000000001E-3</v>
      </c>
      <c r="E26">
        <f t="shared" si="0"/>
        <v>6313.1404940026969</v>
      </c>
      <c r="F26">
        <f t="shared" si="1"/>
        <v>6313</v>
      </c>
      <c r="G26">
        <f t="shared" si="2"/>
        <v>4.9804000002040993E-2</v>
      </c>
      <c r="H26">
        <f t="shared" si="3"/>
        <v>4.9804000002040993E-2</v>
      </c>
      <c r="O26">
        <f t="shared" ca="1" si="4"/>
        <v>4.8260530059835327E-2</v>
      </c>
      <c r="Q26" s="2">
        <f t="shared" si="5"/>
        <v>39000.8626</v>
      </c>
      <c r="R26">
        <f t="shared" ca="1" si="6"/>
        <v>2.3822994624923629E-6</v>
      </c>
    </row>
    <row r="27" spans="1:18" x14ac:dyDescent="0.2">
      <c r="A27" s="27" t="s">
        <v>47</v>
      </c>
      <c r="B27" s="35" t="s">
        <v>44</v>
      </c>
      <c r="C27" s="29">
        <v>54020.424400000004</v>
      </c>
      <c r="D27" s="29">
        <v>8.0000000000000004E-4</v>
      </c>
      <c r="E27">
        <f t="shared" si="0"/>
        <v>6316.1357661103975</v>
      </c>
      <c r="F27">
        <f t="shared" si="1"/>
        <v>6316</v>
      </c>
      <c r="G27">
        <f t="shared" si="2"/>
        <v>4.8128000009455718E-2</v>
      </c>
      <c r="H27">
        <f t="shared" si="3"/>
        <v>4.8128000009455718E-2</v>
      </c>
      <c r="O27">
        <f t="shared" ca="1" si="4"/>
        <v>4.8277614762986441E-2</v>
      </c>
      <c r="Q27" s="2">
        <f t="shared" si="5"/>
        <v>39001.924400000004</v>
      </c>
      <c r="R27">
        <f t="shared" ca="1" si="6"/>
        <v>2.238457447405906E-8</v>
      </c>
    </row>
    <row r="28" spans="1:18" x14ac:dyDescent="0.2">
      <c r="A28" s="24" t="s">
        <v>51</v>
      </c>
      <c r="B28" s="25" t="s">
        <v>42</v>
      </c>
      <c r="C28" s="24">
        <v>54407.346799999999</v>
      </c>
      <c r="D28" s="24">
        <v>5.0000000000000001E-4</v>
      </c>
      <c r="E28">
        <f t="shared" si="0"/>
        <v>7407.6199180799649</v>
      </c>
      <c r="F28">
        <f t="shared" si="1"/>
        <v>7407.5</v>
      </c>
      <c r="G28">
        <f t="shared" si="2"/>
        <v>4.2509999999310821E-2</v>
      </c>
      <c r="H28">
        <f t="shared" si="3"/>
        <v>4.2509999999310821E-2</v>
      </c>
      <c r="O28">
        <f t="shared" ca="1" si="4"/>
        <v>5.4493599259466272E-2</v>
      </c>
      <c r="Q28" s="2">
        <f t="shared" si="5"/>
        <v>39388.846799999999</v>
      </c>
      <c r="R28">
        <f t="shared" ca="1" si="6"/>
        <v>1.4360665122799827E-4</v>
      </c>
    </row>
    <row r="29" spans="1:18" x14ac:dyDescent="0.2">
      <c r="A29" s="24" t="s">
        <v>52</v>
      </c>
      <c r="B29" s="25" t="s">
        <v>44</v>
      </c>
      <c r="C29" s="24">
        <v>55687.4421</v>
      </c>
      <c r="D29" s="24">
        <v>2.8999999999999998E-3</v>
      </c>
      <c r="E29">
        <f t="shared" si="0"/>
        <v>11018.68956140055</v>
      </c>
      <c r="F29">
        <f t="shared" si="1"/>
        <v>11018.5</v>
      </c>
      <c r="G29">
        <f t="shared" si="2"/>
        <v>6.7198000004282221E-2</v>
      </c>
      <c r="H29">
        <f t="shared" si="3"/>
        <v>6.7198000004282221E-2</v>
      </c>
      <c r="O29">
        <f t="shared" ca="1" si="4"/>
        <v>7.5057886952355546E-2</v>
      </c>
      <c r="Q29" s="2">
        <f t="shared" si="5"/>
        <v>40668.9421</v>
      </c>
      <c r="R29">
        <f t="shared" ca="1" si="6"/>
        <v>6.1777822836493401E-5</v>
      </c>
    </row>
    <row r="30" spans="1:18" x14ac:dyDescent="0.2">
      <c r="A30" s="40" t="s">
        <v>53</v>
      </c>
      <c r="B30" s="41" t="s">
        <v>44</v>
      </c>
      <c r="C30" s="42">
        <v>56186.406999999999</v>
      </c>
      <c r="D30" s="42">
        <v>1.5E-3</v>
      </c>
      <c r="E30">
        <f t="shared" si="0"/>
        <v>12426.238673933412</v>
      </c>
      <c r="F30">
        <f t="shared" si="1"/>
        <v>12426</v>
      </c>
      <c r="G30">
        <f t="shared" si="2"/>
        <v>8.4608000004664063E-2</v>
      </c>
      <c r="H30">
        <f t="shared" si="3"/>
        <v>8.4608000004664063E-2</v>
      </c>
      <c r="O30">
        <f t="shared" ca="1" si="4"/>
        <v>8.3073460180752567E-2</v>
      </c>
      <c r="Q30" s="2">
        <f t="shared" si="5"/>
        <v>41167.906999999999</v>
      </c>
      <c r="R30">
        <f t="shared" ca="1" si="6"/>
        <v>2.3548124711703251E-6</v>
      </c>
    </row>
    <row r="31" spans="1:18" x14ac:dyDescent="0.2">
      <c r="A31" s="40" t="s">
        <v>53</v>
      </c>
      <c r="B31" s="41" t="s">
        <v>42</v>
      </c>
      <c r="C31" s="42">
        <v>56186.587399999997</v>
      </c>
      <c r="D31" s="42">
        <v>2.2000000000000001E-3</v>
      </c>
      <c r="E31">
        <f t="shared" si="0"/>
        <v>12426.747571172271</v>
      </c>
      <c r="F31">
        <f t="shared" si="1"/>
        <v>12426.5</v>
      </c>
      <c r="G31">
        <f t="shared" si="2"/>
        <v>8.7762000002840068E-2</v>
      </c>
      <c r="H31">
        <f t="shared" si="3"/>
        <v>8.7762000002840068E-2</v>
      </c>
      <c r="O31">
        <f t="shared" ca="1" si="4"/>
        <v>8.3076307631277768E-2</v>
      </c>
      <c r="Q31" s="2">
        <f t="shared" si="5"/>
        <v>41168.087399999997</v>
      </c>
      <c r="R31">
        <f t="shared" ca="1" si="6"/>
        <v>2.1955713000917133E-5</v>
      </c>
    </row>
    <row r="32" spans="1:18" x14ac:dyDescent="0.2">
      <c r="A32" s="43" t="s">
        <v>55</v>
      </c>
      <c r="B32" s="44" t="s">
        <v>44</v>
      </c>
      <c r="C32" s="43">
        <v>56483.2961</v>
      </c>
      <c r="D32" s="43">
        <v>2.0000000000000001E-4</v>
      </c>
      <c r="E32">
        <f t="shared" si="0"/>
        <v>13263.744456856581</v>
      </c>
      <c r="F32">
        <f t="shared" si="1"/>
        <v>13263.5</v>
      </c>
      <c r="G32">
        <f t="shared" si="2"/>
        <v>8.6658000000170432E-2</v>
      </c>
      <c r="H32">
        <f t="shared" si="3"/>
        <v>8.6658000000170432E-2</v>
      </c>
      <c r="O32">
        <f t="shared" ca="1" si="4"/>
        <v>8.7842939810438198E-2</v>
      </c>
      <c r="Q32" s="2">
        <f t="shared" si="5"/>
        <v>41464.7961</v>
      </c>
      <c r="R32">
        <f t="shared" ca="1" si="6"/>
        <v>1.4040823539574082E-6</v>
      </c>
    </row>
    <row r="33" spans="1:18" x14ac:dyDescent="0.2">
      <c r="A33" s="43" t="s">
        <v>55</v>
      </c>
      <c r="B33" s="44" t="s">
        <v>42</v>
      </c>
      <c r="C33" s="43">
        <v>56499.430999999997</v>
      </c>
      <c r="D33" s="43">
        <v>2.0000000000000001E-4</v>
      </c>
      <c r="E33">
        <f t="shared" si="0"/>
        <v>13309.26001150943</v>
      </c>
      <c r="F33">
        <f>ROUND(2*E33,0)/2-0.5</f>
        <v>13309</v>
      </c>
      <c r="G33">
        <f t="shared" si="2"/>
        <v>9.2172000004211441E-2</v>
      </c>
      <c r="H33">
        <f t="shared" si="3"/>
        <v>9.2172000004211441E-2</v>
      </c>
      <c r="O33">
        <f t="shared" ca="1" si="4"/>
        <v>8.8102057808230078E-2</v>
      </c>
      <c r="Q33" s="2">
        <f t="shared" si="5"/>
        <v>41480.930999999997</v>
      </c>
      <c r="R33">
        <f t="shared" ca="1" si="6"/>
        <v>1.65644294786296E-5</v>
      </c>
    </row>
    <row r="34" spans="1:18" x14ac:dyDescent="0.2">
      <c r="C34" s="10"/>
      <c r="D34" s="10"/>
    </row>
    <row r="35" spans="1:18" x14ac:dyDescent="0.2">
      <c r="C35" s="10"/>
      <c r="D35" s="10"/>
    </row>
    <row r="36" spans="1:18" x14ac:dyDescent="0.2">
      <c r="C36" s="10"/>
      <c r="D36" s="10"/>
    </row>
    <row r="37" spans="1:18" x14ac:dyDescent="0.2">
      <c r="C37" s="10"/>
      <c r="D37" s="10"/>
    </row>
    <row r="38" spans="1:18" x14ac:dyDescent="0.2"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BAV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2024-02-06T03:26:09Z</dcterms:modified>
</cp:coreProperties>
</file>