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ADF8CB-84A5-4A76-B858-B1F3AA2184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G23" i="2"/>
  <c r="C23" i="2"/>
  <c r="E23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E12" i="2"/>
  <c r="G11" i="2"/>
  <c r="C11" i="2"/>
  <c r="E11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C21" i="1"/>
  <c r="E21" i="2"/>
  <c r="E21" i="1"/>
  <c r="F21" i="1"/>
  <c r="E9" i="1"/>
  <c r="A21" i="1"/>
  <c r="F16" i="1"/>
  <c r="F17" i="1" s="1"/>
  <c r="G21" i="1"/>
  <c r="E14" i="2"/>
  <c r="E17" i="2"/>
  <c r="Q21" i="1"/>
  <c r="C17" i="1"/>
  <c r="H21" i="1"/>
  <c r="C11" i="1"/>
  <c r="C12" i="1"/>
  <c r="C16" i="1" l="1"/>
  <c r="D18" i="1" s="1"/>
  <c r="O25" i="1"/>
  <c r="O29" i="1"/>
  <c r="O32" i="1"/>
  <c r="O27" i="1"/>
  <c r="C15" i="1"/>
  <c r="F18" i="1" s="1"/>
  <c r="O33" i="1"/>
  <c r="O24" i="1"/>
  <c r="O28" i="1"/>
  <c r="O31" i="1"/>
  <c r="O23" i="1"/>
  <c r="O21" i="1"/>
  <c r="O26" i="1"/>
  <c r="O34" i="1"/>
  <c r="O22" i="1"/>
  <c r="O30" i="1"/>
  <c r="C18" i="1" l="1"/>
  <c r="F19" i="1"/>
</calcChain>
</file>

<file path=xl/sharedStrings.xml><?xml version="1.0" encoding="utf-8"?>
<sst xmlns="http://schemas.openxmlformats.org/spreadsheetml/2006/main" count="195" uniqueCount="108">
  <si>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</si>
  <si>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</si>
  <si>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</si>
  <si>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</si>
  <si>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</si>
  <si>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</si>
  <si>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</si>
  <si>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</si>
  <si>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</si>
  <si>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</si>
  <si>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</si>
  <si>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</si>
  <si>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</si>
  <si>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</si>
  <si>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</si>
  <si>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</si>
  <si>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</si>
  <si>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</si>
  <si>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</si>
  <si>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</si>
  <si>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</si>
  <si>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</si>
  <si>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</si>
  <si>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</si>
  <si>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</si>
  <si>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</si>
  <si>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</si>
  <si>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</si>
  <si>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</si>
  <si>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</si>
  <si>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</si>
  <si>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</si>
  <si>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</si>
  <si>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</si>
  <si>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</si>
  <si>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</si>
  <si>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</si>
  <si>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</si>
  <si>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</si>
  <si>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</si>
  <si>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</si>
  <si>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</si>
  <si>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</si>
  <si>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</si>
  <si>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</si>
  <si>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</si>
  <si>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</si>
  <si>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</si>
  <si>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BS Del</t>
  </si>
  <si>
    <t>EA</t>
  </si>
  <si>
    <t>BS Del / GSC 25527.4</t>
  </si>
  <si>
    <t>Malkov</t>
  </si>
  <si>
    <t>2425527.298 </t>
  </si>
  <si>
    <t> 07.10.1928 19:09 </t>
  </si>
  <si>
    <t> -0.102 </t>
  </si>
  <si>
    <t>P </t>
  </si>
  <si>
    <t> A.Jensch </t>
  </si>
  <si>
    <t> KVBB 19.50 </t>
  </si>
  <si>
    <t>2425795.494 </t>
  </si>
  <si>
    <t> 02.07.1929 23:51 </t>
  </si>
  <si>
    <t> 0.118 </t>
  </si>
  <si>
    <t>2425938.251 </t>
  </si>
  <si>
    <t> 22.11.1929 18:01 </t>
  </si>
  <si>
    <t> -0.045 </t>
  </si>
  <si>
    <t>2426206.38 </t>
  </si>
  <si>
    <t> 17.08.1930 21:07 </t>
  </si>
  <si>
    <t> 0.11 </t>
  </si>
  <si>
    <t> C.Hoffmeister </t>
  </si>
  <si>
    <t> VSS 1.149 </t>
  </si>
  <si>
    <t>2426209.25 </t>
  </si>
  <si>
    <t> 20.08.1930 18:00 </t>
  </si>
  <si>
    <t> 0.00 </t>
  </si>
  <si>
    <t>2426545.48 </t>
  </si>
  <si>
    <t> 22.07.1931 23:31 </t>
  </si>
  <si>
    <t> -0.23 </t>
  </si>
  <si>
    <t>2427394.288 </t>
  </si>
  <si>
    <t> 17.11.1933 18:54 </t>
  </si>
  <si>
    <t> -0.011 </t>
  </si>
  <si>
    <t>2427632.496 </t>
  </si>
  <si>
    <t> 13.07.1934 23:54 </t>
  </si>
  <si>
    <t> -0.004 </t>
  </si>
  <si>
    <t>2429791.43 </t>
  </si>
  <si>
    <t> 10.06.1940 22:19 </t>
  </si>
  <si>
    <t> 0.24 </t>
  </si>
  <si>
    <t>2448116.39 </t>
  </si>
  <si>
    <t> 12.08.1990 21:21 </t>
  </si>
  <si>
    <t> 1.60 </t>
  </si>
  <si>
    <t>E </t>
  </si>
  <si>
    <t>?</t>
  </si>
  <si>
    <t> A.Paschke </t>
  </si>
  <si>
    <t> BBS 97 </t>
  </si>
  <si>
    <t>2448460.485 </t>
  </si>
  <si>
    <t> 22.07.1991 23:38 </t>
  </si>
  <si>
    <t> 0.303 </t>
  </si>
  <si>
    <t> BBS 98 </t>
  </si>
  <si>
    <t>2448497.535 </t>
  </si>
  <si>
    <t> 29.08.1991 00:50 </t>
  </si>
  <si>
    <t> 0.134 </t>
  </si>
  <si>
    <t> BBS 100 </t>
  </si>
  <si>
    <t>2454385.3014 </t>
  </si>
  <si>
    <t> 11.10.2007 19:14 </t>
  </si>
  <si>
    <t> -0.1255 </t>
  </si>
  <si>
    <t>C </t>
  </si>
  <si>
    <t>-I</t>
  </si>
  <si>
    <t> F.Agerer </t>
  </si>
  <si>
    <t>BAVM 193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</si>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</sst>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0" fillId="3" borderId="12" xfId="7" applyFill="1" applyBorder="1" applyAlignment="1" applyProtection="1">
      <alignment horizontal="right" vertical="top" wrapText="1"/>
    </xf>
    <xf numFmtId="0" fontId="16" fillId="4" borderId="1" xfId="0" applyFont="1" applyFill="1" applyBorder="1" applyAlignment="1">
      <alignment horizontal="left" vertical="center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Del - O-C Diagr.</a:t>
            </a:r>
          </a:p>
        </c:rich>
      </c:tx>
      <c:layout>
        <c:manualLayout>
          <c:xMode val="edge"/>
          <c:yMode val="edge"/>
          <c:x val="0.4151376146788990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23853211009174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AF-4B65-88D3-08B05472BD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-0.10200000000259024</c:v>
                </c:pt>
                <c:pt idx="2">
                  <c:v>0.1180999999960477</c:v>
                </c:pt>
                <c:pt idx="3">
                  <c:v>-4.5379999999568099E-2</c:v>
                </c:pt>
                <c:pt idx="4">
                  <c:v>0.10771999999997206</c:v>
                </c:pt>
                <c:pt idx="5">
                  <c:v>2.0999999833293259E-4</c:v>
                </c:pt>
                <c:pt idx="6">
                  <c:v>-0.22842000000309781</c:v>
                </c:pt>
                <c:pt idx="7">
                  <c:v>-1.0770000000775326E-2</c:v>
                </c:pt>
                <c:pt idx="8">
                  <c:v>-3.5700000007636845E-3</c:v>
                </c:pt>
                <c:pt idx="9">
                  <c:v>0.23567999999795575</c:v>
                </c:pt>
                <c:pt idx="10">
                  <c:v>0.11038499999267515</c:v>
                </c:pt>
                <c:pt idx="11">
                  <c:v>0.30297999999311287</c:v>
                </c:pt>
                <c:pt idx="12">
                  <c:v>0.13410500000463799</c:v>
                </c:pt>
                <c:pt idx="13">
                  <c:v>-0.12552000000141561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AF-4B65-88D3-08B05472BD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AF-4B65-88D3-08B05472BD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AF-4B65-88D3-08B05472BD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AF-4B65-88D3-08B05472BD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AF-4B65-88D3-08B05472BD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AF-4B65-88D3-08B05472BD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6.3015336786332032E-3</c:v>
                </c:pt>
                <c:pt idx="1">
                  <c:v>6.3015336786332032E-3</c:v>
                </c:pt>
                <c:pt idx="2">
                  <c:v>7.3012285800426882E-3</c:v>
                </c:pt>
                <c:pt idx="3">
                  <c:v>7.8343991941277474E-3</c:v>
                </c:pt>
                <c:pt idx="4">
                  <c:v>8.8340940955372316E-3</c:v>
                </c:pt>
                <c:pt idx="5">
                  <c:v>8.8452018166640042E-3</c:v>
                </c:pt>
                <c:pt idx="6">
                  <c:v>1.0100374303989247E-2</c:v>
                </c:pt>
                <c:pt idx="7">
                  <c:v>1.3266074825119285E-2</c:v>
                </c:pt>
                <c:pt idx="8">
                  <c:v>1.4154692515261049E-2</c:v>
                </c:pt>
                <c:pt idx="9">
                  <c:v>2.2207790332170789E-2</c:v>
                </c:pt>
                <c:pt idx="10">
                  <c:v>9.0570260006889419E-2</c:v>
                </c:pt>
                <c:pt idx="11">
                  <c:v>9.1853201797031589E-2</c:v>
                </c:pt>
                <c:pt idx="12">
                  <c:v>9.1992048311116251E-2</c:v>
                </c:pt>
                <c:pt idx="13">
                  <c:v>0.11395756683930799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AF-4B65-88D3-08B05472BD8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138</c:v>
                </c:pt>
                <c:pt idx="4">
                  <c:v>228</c:v>
                </c:pt>
                <c:pt idx="5">
                  <c:v>229</c:v>
                </c:pt>
                <c:pt idx="6">
                  <c:v>342</c:v>
                </c:pt>
                <c:pt idx="7">
                  <c:v>627</c:v>
                </c:pt>
                <c:pt idx="8">
                  <c:v>707</c:v>
                </c:pt>
                <c:pt idx="9">
                  <c:v>1432</c:v>
                </c:pt>
                <c:pt idx="10">
                  <c:v>7586.5</c:v>
                </c:pt>
                <c:pt idx="11">
                  <c:v>7702</c:v>
                </c:pt>
                <c:pt idx="12">
                  <c:v>7714.5</c:v>
                </c:pt>
                <c:pt idx="13">
                  <c:v>9692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AF-4B65-88D3-08B05472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517952"/>
        <c:axId val="1"/>
      </c:scatterChart>
      <c:valAx>
        <c:axId val="69751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88990825688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51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84403669724773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20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0048F2-74E8-AB0A-B60C-C9C3C44E6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51" t="s">
        <v>48</v>
      </c>
      <c r="G1" s="32">
        <v>20.525829999999999</v>
      </c>
      <c r="H1" s="33">
        <v>16.0243</v>
      </c>
      <c r="I1" s="34">
        <v>25527.4</v>
      </c>
      <c r="J1" s="34">
        <v>2.9775100000000001</v>
      </c>
      <c r="K1" s="31" t="s">
        <v>49</v>
      </c>
      <c r="L1" s="33"/>
      <c r="M1" s="34">
        <v>25527.4</v>
      </c>
      <c r="N1" s="34">
        <v>2.9775100000000001</v>
      </c>
      <c r="O1" s="37" t="s">
        <v>49</v>
      </c>
    </row>
    <row r="2" spans="1:15" x14ac:dyDescent="0.2">
      <c r="A2" t="s">
        <v>23</v>
      </c>
      <c r="B2" s="3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25527.4</v>
      </c>
      <c r="D4" s="28">
        <v>2.9775100000000001</v>
      </c>
    </row>
    <row r="5" spans="1:15" ht="13.5" thickTop="1" x14ac:dyDescent="0.2">
      <c r="A5" s="9" t="s">
        <v>28</v>
      </c>
      <c r="B5" s="54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6">
        <v>25527.4</v>
      </c>
      <c r="D7" s="29" t="s">
        <v>51</v>
      </c>
    </row>
    <row r="8" spans="1:15" x14ac:dyDescent="0.2">
      <c r="A8" t="s">
        <v>3</v>
      </c>
      <c r="C8" s="56">
        <v>2.9775100000000001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54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54"/>
      <c r="C11" s="21">
        <f ca="1">INTERCEPT(INDIRECT($E$9):G992,INDIRECT($D$9):F992)</f>
        <v>6.3015336786332032E-3</v>
      </c>
      <c r="D11" s="3"/>
      <c r="E11" s="10"/>
    </row>
    <row r="12" spans="1:15" x14ac:dyDescent="0.2">
      <c r="A12" s="10" t="s">
        <v>16</v>
      </c>
      <c r="B12" s="54"/>
      <c r="C12" s="21">
        <f ca="1">SLOPE(INDIRECT($E$9):G992,INDIRECT($D$9):F992)</f>
        <v>1.1107721126772058E-5</v>
      </c>
      <c r="D12" s="3"/>
      <c r="E12" s="10"/>
    </row>
    <row r="13" spans="1:15" x14ac:dyDescent="0.2">
      <c r="A13" s="10" t="s">
        <v>18</v>
      </c>
      <c r="B13" s="54"/>
      <c r="C13" s="3" t="s">
        <v>13</v>
      </c>
    </row>
    <row r="14" spans="1:15" x14ac:dyDescent="0.2">
      <c r="A14" s="10"/>
      <c r="B14" s="54"/>
      <c r="C14" s="10"/>
    </row>
    <row r="15" spans="1:15" x14ac:dyDescent="0.2">
      <c r="A15" s="12" t="s">
        <v>17</v>
      </c>
      <c r="B15" s="54"/>
      <c r="C15" s="13">
        <f ca="1">(C7+C11)+(C8+C12)*INT(MAX(F21:F3533))</f>
        <v>54385.540877566847</v>
      </c>
      <c r="E15" s="14" t="s">
        <v>34</v>
      </c>
      <c r="F15" s="35">
        <v>1</v>
      </c>
    </row>
    <row r="16" spans="1:15" x14ac:dyDescent="0.2">
      <c r="A16" s="16" t="s">
        <v>4</v>
      </c>
      <c r="B16" s="54"/>
      <c r="C16" s="17">
        <f ca="1">+C8+C12</f>
        <v>2.977521107721127</v>
      </c>
      <c r="E16" s="14" t="s">
        <v>30</v>
      </c>
      <c r="F16" s="36">
        <f ca="1">NOW()+15018.5+$C$5/24</f>
        <v>60346.759335879629</v>
      </c>
    </row>
    <row r="17" spans="1:21" ht="13.5" thickBot="1" x14ac:dyDescent="0.25">
      <c r="A17" s="14" t="s">
        <v>27</v>
      </c>
      <c r="B17" s="54"/>
      <c r="C17" s="10">
        <f>COUNT(C21:C2191)</f>
        <v>14</v>
      </c>
      <c r="E17" s="14" t="s">
        <v>35</v>
      </c>
      <c r="F17" s="15">
        <f ca="1">ROUND(2*(F16-$C$7)/$C$8,0)/2+F15</f>
        <v>11695</v>
      </c>
    </row>
    <row r="18" spans="1:21" ht="14.25" thickTop="1" thickBot="1" x14ac:dyDescent="0.25">
      <c r="A18" s="16" t="s">
        <v>5</v>
      </c>
      <c r="B18" s="54"/>
      <c r="C18" s="19">
        <f ca="1">+C15</f>
        <v>54385.540877566847</v>
      </c>
      <c r="D18" s="20">
        <f ca="1">+C16</f>
        <v>2.977521107721127</v>
      </c>
      <c r="E18" s="14" t="s">
        <v>36</v>
      </c>
      <c r="F18" s="23">
        <f ca="1">ROUND(2*(F16-$C$15)/$C$16,0)/2+F15</f>
        <v>2003</v>
      </c>
    </row>
    <row r="19" spans="1:21" ht="13.5" thickTop="1" x14ac:dyDescent="0.2">
      <c r="E19" s="14" t="s">
        <v>31</v>
      </c>
      <c r="F19" s="18">
        <f ca="1">+$C$15+$C$16*F18-15018.5-$C$5/24</f>
        <v>45331.411489665603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tr">
        <f>D7</f>
        <v>Malkov</v>
      </c>
      <c r="C21" s="8">
        <f>C$7</f>
        <v>25527.4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6.3015336786332032E-3</v>
      </c>
      <c r="Q21" s="2">
        <f>+C21-15018.5</f>
        <v>10508.900000000001</v>
      </c>
      <c r="R21" s="2"/>
      <c r="S21" s="2"/>
      <c r="T21" s="2"/>
    </row>
    <row r="22" spans="1:21" x14ac:dyDescent="0.2">
      <c r="A22" s="52" t="s">
        <v>57</v>
      </c>
      <c r="B22" s="55" t="s">
        <v>106</v>
      </c>
      <c r="C22" s="53">
        <v>25527.297999999999</v>
      </c>
      <c r="D22" s="53" t="s">
        <v>38</v>
      </c>
      <c r="E22">
        <f t="shared" ref="E22:E34" si="0">+(C22-C$7)/C$8</f>
        <v>-3.4256811900746004E-2</v>
      </c>
      <c r="F22">
        <f t="shared" ref="F22:F34" si="1">ROUND(2*E22,0)/2</f>
        <v>0</v>
      </c>
      <c r="G22">
        <f t="shared" ref="G22:G34" si="2">+C22-(C$7+F22*C$8)</f>
        <v>-0.10200000000259024</v>
      </c>
      <c r="I22">
        <f>+G22</f>
        <v>-0.10200000000259024</v>
      </c>
      <c r="O22">
        <f t="shared" ref="O22:O34" ca="1" si="3">+C$11+C$12*$F22</f>
        <v>6.3015336786332032E-3</v>
      </c>
      <c r="Q22" s="2">
        <f t="shared" ref="Q22:Q34" si="4">+C22-15018.5</f>
        <v>10508.797999999999</v>
      </c>
      <c r="R22" s="2"/>
      <c r="S22" s="2"/>
      <c r="T22" s="2"/>
    </row>
    <row r="23" spans="1:21" x14ac:dyDescent="0.2">
      <c r="A23" s="52" t="s">
        <v>57</v>
      </c>
      <c r="B23" s="55" t="s">
        <v>106</v>
      </c>
      <c r="C23" s="53">
        <v>25795.493999999999</v>
      </c>
      <c r="D23" s="53" t="s">
        <v>38</v>
      </c>
      <c r="E23">
        <f t="shared" si="0"/>
        <v>90.039664014561595</v>
      </c>
      <c r="F23">
        <f t="shared" si="1"/>
        <v>90</v>
      </c>
      <c r="G23">
        <f t="shared" si="2"/>
        <v>0.1180999999960477</v>
      </c>
      <c r="I23">
        <f>+G23</f>
        <v>0.1180999999960477</v>
      </c>
      <c r="O23">
        <f t="shared" ca="1" si="3"/>
        <v>7.3012285800426882E-3</v>
      </c>
      <c r="Q23" s="2">
        <f t="shared" si="4"/>
        <v>10776.993999999999</v>
      </c>
      <c r="R23" s="2"/>
      <c r="S23" s="2"/>
      <c r="T23" s="2"/>
    </row>
    <row r="24" spans="1:21" x14ac:dyDescent="0.2">
      <c r="A24" s="52" t="s">
        <v>57</v>
      </c>
      <c r="B24" s="55" t="s">
        <v>106</v>
      </c>
      <c r="C24" s="53">
        <v>25938.251</v>
      </c>
      <c r="D24" s="53" t="s">
        <v>38</v>
      </c>
      <c r="E24">
        <f t="shared" si="0"/>
        <v>137.9847590772151</v>
      </c>
      <c r="F24">
        <f t="shared" si="1"/>
        <v>138</v>
      </c>
      <c r="G24">
        <f t="shared" si="2"/>
        <v>-4.5379999999568099E-2</v>
      </c>
      <c r="I24">
        <f>+G24</f>
        <v>-4.5379999999568099E-2</v>
      </c>
      <c r="O24">
        <f t="shared" ca="1" si="3"/>
        <v>7.8343991941277474E-3</v>
      </c>
      <c r="Q24" s="2">
        <f t="shared" si="4"/>
        <v>10919.751</v>
      </c>
      <c r="R24" s="2"/>
      <c r="S24" s="2"/>
      <c r="T24" s="2"/>
    </row>
    <row r="25" spans="1:21" x14ac:dyDescent="0.2">
      <c r="A25" s="52" t="s">
        <v>68</v>
      </c>
      <c r="B25" s="55" t="s">
        <v>106</v>
      </c>
      <c r="C25" s="53">
        <v>26206.38</v>
      </c>
      <c r="D25" s="53" t="s">
        <v>38</v>
      </c>
      <c r="E25">
        <f t="shared" si="0"/>
        <v>228.0361778801749</v>
      </c>
      <c r="F25">
        <f t="shared" si="1"/>
        <v>228</v>
      </c>
      <c r="G25">
        <f t="shared" si="2"/>
        <v>0.10771999999997206</v>
      </c>
      <c r="I25">
        <f>+G25</f>
        <v>0.10771999999997206</v>
      </c>
      <c r="O25">
        <f t="shared" ca="1" si="3"/>
        <v>8.8340940955372316E-3</v>
      </c>
      <c r="Q25" s="2">
        <f t="shared" si="4"/>
        <v>11187.880000000001</v>
      </c>
      <c r="R25" s="2"/>
      <c r="S25" s="2"/>
      <c r="T25" s="2"/>
    </row>
    <row r="26" spans="1:21" x14ac:dyDescent="0.2">
      <c r="A26" s="52" t="s">
        <v>68</v>
      </c>
      <c r="B26" s="55" t="s">
        <v>106</v>
      </c>
      <c r="C26" s="53">
        <v>26209.25</v>
      </c>
      <c r="D26" s="53" t="s">
        <v>38</v>
      </c>
      <c r="E26">
        <f t="shared" si="0"/>
        <v>229.00007052872988</v>
      </c>
      <c r="F26">
        <f t="shared" si="1"/>
        <v>229</v>
      </c>
      <c r="G26">
        <f t="shared" si="2"/>
        <v>2.0999999833293259E-4</v>
      </c>
      <c r="I26">
        <f>+G26</f>
        <v>2.0999999833293259E-4</v>
      </c>
      <c r="O26">
        <f t="shared" ca="1" si="3"/>
        <v>8.8452018166640042E-3</v>
      </c>
      <c r="Q26" s="2">
        <f t="shared" si="4"/>
        <v>11190.75</v>
      </c>
      <c r="R26" s="2"/>
      <c r="S26" s="2"/>
      <c r="T26" s="2"/>
    </row>
    <row r="27" spans="1:21" x14ac:dyDescent="0.2">
      <c r="A27" s="52" t="s">
        <v>68</v>
      </c>
      <c r="B27" s="55" t="s">
        <v>106</v>
      </c>
      <c r="C27" s="53">
        <v>26545.48</v>
      </c>
      <c r="D27" s="53" t="s">
        <v>38</v>
      </c>
      <c r="E27">
        <f t="shared" si="0"/>
        <v>341.92328489240947</v>
      </c>
      <c r="F27">
        <f t="shared" si="1"/>
        <v>342</v>
      </c>
      <c r="G27">
        <f t="shared" si="2"/>
        <v>-0.22842000000309781</v>
      </c>
      <c r="I27">
        <f>+G27</f>
        <v>-0.22842000000309781</v>
      </c>
      <c r="O27">
        <f t="shared" ca="1" si="3"/>
        <v>1.0100374303989247E-2</v>
      </c>
      <c r="Q27" s="2">
        <f t="shared" si="4"/>
        <v>11526.98</v>
      </c>
      <c r="R27" s="2"/>
      <c r="S27" s="2"/>
      <c r="T27" s="2"/>
    </row>
    <row r="28" spans="1:21" x14ac:dyDescent="0.2">
      <c r="A28" s="52" t="s">
        <v>57</v>
      </c>
      <c r="B28" s="55" t="s">
        <v>106</v>
      </c>
      <c r="C28" s="53">
        <v>27394.288</v>
      </c>
      <c r="D28" s="53" t="s">
        <v>38</v>
      </c>
      <c r="E28">
        <f t="shared" si="0"/>
        <v>626.9963828836843</v>
      </c>
      <c r="F28">
        <f t="shared" si="1"/>
        <v>627</v>
      </c>
      <c r="G28">
        <f t="shared" si="2"/>
        <v>-1.0770000000775326E-2</v>
      </c>
      <c r="I28">
        <f>+G28</f>
        <v>-1.0770000000775326E-2</v>
      </c>
      <c r="O28">
        <f t="shared" ca="1" si="3"/>
        <v>1.3266074825119285E-2</v>
      </c>
      <c r="Q28" s="2">
        <f t="shared" si="4"/>
        <v>12375.788</v>
      </c>
      <c r="R28" s="2"/>
      <c r="S28" s="2"/>
      <c r="T28" s="2"/>
    </row>
    <row r="29" spans="1:21" x14ac:dyDescent="0.2">
      <c r="A29" s="52" t="s">
        <v>57</v>
      </c>
      <c r="B29" s="55" t="s">
        <v>106</v>
      </c>
      <c r="C29" s="53">
        <v>27632.495999999999</v>
      </c>
      <c r="D29" s="53" t="s">
        <v>38</v>
      </c>
      <c r="E29">
        <f t="shared" si="0"/>
        <v>706.99880101158271</v>
      </c>
      <c r="F29">
        <f t="shared" si="1"/>
        <v>707</v>
      </c>
      <c r="G29">
        <f t="shared" si="2"/>
        <v>-3.5700000007636845E-3</v>
      </c>
      <c r="I29">
        <f>+G29</f>
        <v>-3.5700000007636845E-3</v>
      </c>
      <c r="O29">
        <f t="shared" ca="1" si="3"/>
        <v>1.4154692515261049E-2</v>
      </c>
      <c r="Q29" s="2">
        <f t="shared" si="4"/>
        <v>12613.995999999999</v>
      </c>
      <c r="R29" s="2"/>
      <c r="S29" s="2"/>
      <c r="T29" s="2"/>
    </row>
    <row r="30" spans="1:21" x14ac:dyDescent="0.2">
      <c r="A30" s="52" t="s">
        <v>68</v>
      </c>
      <c r="B30" s="55" t="s">
        <v>106</v>
      </c>
      <c r="C30" s="53">
        <v>29791.43</v>
      </c>
      <c r="D30" s="53" t="s">
        <v>38</v>
      </c>
      <c r="E30">
        <f t="shared" si="0"/>
        <v>1432.079153386554</v>
      </c>
      <c r="F30">
        <f t="shared" si="1"/>
        <v>1432</v>
      </c>
      <c r="G30">
        <f t="shared" si="2"/>
        <v>0.23567999999795575</v>
      </c>
      <c r="I30">
        <f>+G30</f>
        <v>0.23567999999795575</v>
      </c>
      <c r="O30">
        <f t="shared" ca="1" si="3"/>
        <v>2.2207790332170789E-2</v>
      </c>
      <c r="Q30" s="2">
        <f t="shared" si="4"/>
        <v>14772.93</v>
      </c>
      <c r="R30" s="2"/>
      <c r="S30" s="2"/>
      <c r="T30" s="2"/>
    </row>
    <row r="31" spans="1:21" x14ac:dyDescent="0.2">
      <c r="A31" s="52" t="s">
        <v>90</v>
      </c>
      <c r="B31" s="55" t="s">
        <v>106</v>
      </c>
      <c r="C31" s="53">
        <v>48116.39</v>
      </c>
      <c r="D31" s="53" t="s">
        <v>38</v>
      </c>
      <c r="E31">
        <f t="shared" si="0"/>
        <v>7586.5370729233482</v>
      </c>
      <c r="F31">
        <f t="shared" si="1"/>
        <v>7586.5</v>
      </c>
      <c r="G31">
        <f t="shared" si="2"/>
        <v>0.11038499999267515</v>
      </c>
      <c r="I31">
        <f>+G31</f>
        <v>0.11038499999267515</v>
      </c>
      <c r="O31">
        <f t="shared" ca="1" si="3"/>
        <v>9.0570260006889419E-2</v>
      </c>
      <c r="Q31" s="2">
        <f t="shared" si="4"/>
        <v>33097.89</v>
      </c>
      <c r="R31" s="2"/>
      <c r="S31" s="2"/>
      <c r="T31" s="2"/>
    </row>
    <row r="32" spans="1:21" x14ac:dyDescent="0.2">
      <c r="A32" s="52" t="s">
        <v>94</v>
      </c>
      <c r="B32" s="55" t="s">
        <v>106</v>
      </c>
      <c r="C32" s="53">
        <v>48460.485000000001</v>
      </c>
      <c r="D32" s="53" t="s">
        <v>38</v>
      </c>
      <c r="E32">
        <f t="shared" si="0"/>
        <v>7702.1017561653862</v>
      </c>
      <c r="F32">
        <f t="shared" si="1"/>
        <v>7702</v>
      </c>
      <c r="G32">
        <f t="shared" si="2"/>
        <v>0.30297999999311287</v>
      </c>
      <c r="I32">
        <f>+G32</f>
        <v>0.30297999999311287</v>
      </c>
      <c r="O32">
        <f t="shared" ca="1" si="3"/>
        <v>9.1853201797031589E-2</v>
      </c>
      <c r="Q32" s="2">
        <f t="shared" si="4"/>
        <v>33441.985000000001</v>
      </c>
      <c r="R32" s="2"/>
      <c r="S32" s="2"/>
      <c r="T32" s="2"/>
    </row>
    <row r="33" spans="1:20" x14ac:dyDescent="0.2">
      <c r="A33" s="52" t="s">
        <v>98</v>
      </c>
      <c r="B33" s="55" t="s">
        <v>107</v>
      </c>
      <c r="C33" s="53">
        <v>48497.535000000003</v>
      </c>
      <c r="D33" s="53" t="s">
        <v>38</v>
      </c>
      <c r="E33">
        <f t="shared" si="0"/>
        <v>7714.5450393113715</v>
      </c>
      <c r="F33">
        <f t="shared" si="1"/>
        <v>7714.5</v>
      </c>
      <c r="G33">
        <f t="shared" si="2"/>
        <v>0.13410500000463799</v>
      </c>
      <c r="I33">
        <f>+G33</f>
        <v>0.13410500000463799</v>
      </c>
      <c r="O33">
        <f t="shared" ca="1" si="3"/>
        <v>9.1992048311116251E-2</v>
      </c>
      <c r="Q33" s="2">
        <f t="shared" si="4"/>
        <v>33479.035000000003</v>
      </c>
      <c r="R33" s="2"/>
      <c r="S33" s="2"/>
      <c r="T33" s="2"/>
    </row>
    <row r="34" spans="1:20" x14ac:dyDescent="0.2">
      <c r="A34" s="52" t="s">
        <v>105</v>
      </c>
      <c r="B34" s="55" t="s">
        <v>106</v>
      </c>
      <c r="C34" s="53">
        <v>54385.301399999997</v>
      </c>
      <c r="D34" s="53" t="s">
        <v>38</v>
      </c>
      <c r="E34">
        <f t="shared" si="0"/>
        <v>9691.9578439702946</v>
      </c>
      <c r="F34">
        <f t="shared" si="1"/>
        <v>9692</v>
      </c>
      <c r="G34">
        <f t="shared" si="2"/>
        <v>-0.12552000000141561</v>
      </c>
      <c r="I34">
        <f>+G34</f>
        <v>-0.12552000000141561</v>
      </c>
      <c r="O34">
        <f t="shared" ca="1" si="3"/>
        <v>0.11395756683930799</v>
      </c>
      <c r="Q34" s="2">
        <f t="shared" si="4"/>
        <v>39366.801399999997</v>
      </c>
      <c r="R34" s="2"/>
      <c r="S34" s="2"/>
      <c r="T34" s="2"/>
    </row>
    <row r="35" spans="1:20" x14ac:dyDescent="0.2">
      <c r="C35" s="8"/>
      <c r="D35" s="8"/>
    </row>
    <row r="36" spans="1:20" x14ac:dyDescent="0.2">
      <c r="C36" s="8"/>
      <c r="D36" s="8"/>
    </row>
    <row r="37" spans="1:20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3"/>
  <sheetViews>
    <sheetView workbookViewId="0">
      <selection activeCell="A11" sqref="A11:D23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 KVBB 19.50 </v>
      </c>
      <c r="B11" s="3" t="str">
        <f t="shared" ref="B11:B23" si="1">IF(H11=INT(H11),"I","II")</f>
        <v>I</v>
      </c>
      <c r="C11" s="8">
        <f t="shared" ref="C11:C23" si="2">1*G11</f>
        <v>25527.297999999999</v>
      </c>
      <c r="D11" s="10" t="str">
        <f t="shared" ref="D11:D23" si="3">VLOOKUP(F11,I$1:J$5,2,FALSE)</f>
        <v>vis</v>
      </c>
      <c r="E11" s="46">
        <f>VLOOKUP(C11,Active!C$21:E$973,3,FALSE)</f>
        <v>-3.4256811900746004E-2</v>
      </c>
      <c r="F11" s="3" t="s">
        <v>47</v>
      </c>
      <c r="G11" s="10" t="str">
        <f t="shared" ref="G11:G23" si="4">MID(I11,3,LEN(I11)-3)</f>
        <v>25527.298</v>
      </c>
      <c r="H11" s="8">
        <f t="shared" ref="H11:H23" si="5">1*K11</f>
        <v>0</v>
      </c>
      <c r="I11" s="47" t="s">
        <v>52</v>
      </c>
      <c r="J11" s="48" t="s">
        <v>53</v>
      </c>
      <c r="K11" s="47">
        <v>0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KVBB 19.50 </v>
      </c>
      <c r="B12" s="3" t="str">
        <f t="shared" si="1"/>
        <v>I</v>
      </c>
      <c r="C12" s="8">
        <f t="shared" si="2"/>
        <v>25795.493999999999</v>
      </c>
      <c r="D12" s="10" t="str">
        <f t="shared" si="3"/>
        <v>vis</v>
      </c>
      <c r="E12" s="46">
        <f>VLOOKUP(C12,Active!C$21:E$973,3,FALSE)</f>
        <v>90.039664014561595</v>
      </c>
      <c r="F12" s="3" t="s">
        <v>47</v>
      </c>
      <c r="G12" s="10" t="str">
        <f t="shared" si="4"/>
        <v>25795.494</v>
      </c>
      <c r="H12" s="8">
        <f t="shared" si="5"/>
        <v>90</v>
      </c>
      <c r="I12" s="47" t="s">
        <v>58</v>
      </c>
      <c r="J12" s="48" t="s">
        <v>59</v>
      </c>
      <c r="K12" s="47">
        <v>90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KVBB 19.50 </v>
      </c>
      <c r="B13" s="3" t="str">
        <f t="shared" si="1"/>
        <v>I</v>
      </c>
      <c r="C13" s="8">
        <f t="shared" si="2"/>
        <v>25938.251</v>
      </c>
      <c r="D13" s="10" t="str">
        <f t="shared" si="3"/>
        <v>vis</v>
      </c>
      <c r="E13" s="46">
        <f>VLOOKUP(C13,Active!C$21:E$973,3,FALSE)</f>
        <v>137.9847590772151</v>
      </c>
      <c r="F13" s="3" t="s">
        <v>47</v>
      </c>
      <c r="G13" s="10" t="str">
        <f t="shared" si="4"/>
        <v>25938.251</v>
      </c>
      <c r="H13" s="8">
        <f t="shared" si="5"/>
        <v>138</v>
      </c>
      <c r="I13" s="47" t="s">
        <v>61</v>
      </c>
      <c r="J13" s="48" t="s">
        <v>62</v>
      </c>
      <c r="K13" s="47">
        <v>138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VSS 1.149 </v>
      </c>
      <c r="B14" s="3" t="str">
        <f t="shared" si="1"/>
        <v>I</v>
      </c>
      <c r="C14" s="8">
        <f t="shared" si="2"/>
        <v>26206.38</v>
      </c>
      <c r="D14" s="10" t="str">
        <f t="shared" si="3"/>
        <v>vis</v>
      </c>
      <c r="E14" s="46">
        <f>VLOOKUP(C14,Active!C$21:E$973,3,FALSE)</f>
        <v>228.0361778801749</v>
      </c>
      <c r="F14" s="3" t="s">
        <v>47</v>
      </c>
      <c r="G14" s="10" t="str">
        <f t="shared" si="4"/>
        <v>26206.38</v>
      </c>
      <c r="H14" s="8">
        <f t="shared" si="5"/>
        <v>228</v>
      </c>
      <c r="I14" s="47" t="s">
        <v>64</v>
      </c>
      <c r="J14" s="48" t="s">
        <v>65</v>
      </c>
      <c r="K14" s="47">
        <v>228</v>
      </c>
      <c r="L14" s="47" t="s">
        <v>66</v>
      </c>
      <c r="M14" s="48" t="s">
        <v>55</v>
      </c>
      <c r="N14" s="48"/>
      <c r="O14" s="49" t="s">
        <v>67</v>
      </c>
      <c r="P14" s="49" t="s">
        <v>68</v>
      </c>
    </row>
    <row r="15" spans="1:16" ht="12.75" customHeight="1" thickBot="1" x14ac:dyDescent="0.25">
      <c r="A15" s="8" t="str">
        <f t="shared" si="0"/>
        <v> VSS 1.149 </v>
      </c>
      <c r="B15" s="3" t="str">
        <f t="shared" si="1"/>
        <v>I</v>
      </c>
      <c r="C15" s="8">
        <f t="shared" si="2"/>
        <v>26209.25</v>
      </c>
      <c r="D15" s="10" t="str">
        <f t="shared" si="3"/>
        <v>vis</v>
      </c>
      <c r="E15" s="46">
        <f>VLOOKUP(C15,Active!C$21:E$973,3,FALSE)</f>
        <v>229.00007052872988</v>
      </c>
      <c r="F15" s="3" t="s">
        <v>47</v>
      </c>
      <c r="G15" s="10" t="str">
        <f t="shared" si="4"/>
        <v>26209.25</v>
      </c>
      <c r="H15" s="8">
        <f t="shared" si="5"/>
        <v>229</v>
      </c>
      <c r="I15" s="47" t="s">
        <v>69</v>
      </c>
      <c r="J15" s="48" t="s">
        <v>70</v>
      </c>
      <c r="K15" s="47">
        <v>229</v>
      </c>
      <c r="L15" s="47" t="s">
        <v>71</v>
      </c>
      <c r="M15" s="48" t="s">
        <v>55</v>
      </c>
      <c r="N15" s="48"/>
      <c r="O15" s="49" t="s">
        <v>67</v>
      </c>
      <c r="P15" s="49" t="s">
        <v>68</v>
      </c>
    </row>
    <row r="16" spans="1:16" ht="12.75" customHeight="1" thickBot="1" x14ac:dyDescent="0.25">
      <c r="A16" s="8" t="str">
        <f t="shared" si="0"/>
        <v> VSS 1.149 </v>
      </c>
      <c r="B16" s="3" t="str">
        <f t="shared" si="1"/>
        <v>I</v>
      </c>
      <c r="C16" s="8">
        <f t="shared" si="2"/>
        <v>26545.48</v>
      </c>
      <c r="D16" s="10" t="str">
        <f t="shared" si="3"/>
        <v>vis</v>
      </c>
      <c r="E16" s="46">
        <f>VLOOKUP(C16,Active!C$21:E$973,3,FALSE)</f>
        <v>341.92328489240947</v>
      </c>
      <c r="F16" s="3" t="s">
        <v>47</v>
      </c>
      <c r="G16" s="10" t="str">
        <f t="shared" si="4"/>
        <v>26545.48</v>
      </c>
      <c r="H16" s="8">
        <f t="shared" si="5"/>
        <v>342</v>
      </c>
      <c r="I16" s="47" t="s">
        <v>72</v>
      </c>
      <c r="J16" s="48" t="s">
        <v>73</v>
      </c>
      <c r="K16" s="47">
        <v>342</v>
      </c>
      <c r="L16" s="47" t="s">
        <v>74</v>
      </c>
      <c r="M16" s="48" t="s">
        <v>55</v>
      </c>
      <c r="N16" s="48"/>
      <c r="O16" s="49" t="s">
        <v>67</v>
      </c>
      <c r="P16" s="49" t="s">
        <v>68</v>
      </c>
    </row>
    <row r="17" spans="1:16" ht="12.75" customHeight="1" thickBot="1" x14ac:dyDescent="0.25">
      <c r="A17" s="8" t="str">
        <f t="shared" si="0"/>
        <v> KVBB 19.50 </v>
      </c>
      <c r="B17" s="3" t="str">
        <f t="shared" si="1"/>
        <v>I</v>
      </c>
      <c r="C17" s="8">
        <f t="shared" si="2"/>
        <v>27394.288</v>
      </c>
      <c r="D17" s="10" t="str">
        <f t="shared" si="3"/>
        <v>vis</v>
      </c>
      <c r="E17" s="46">
        <f>VLOOKUP(C17,Active!C$21:E$973,3,FALSE)</f>
        <v>626.9963828836843</v>
      </c>
      <c r="F17" s="3" t="s">
        <v>47</v>
      </c>
      <c r="G17" s="10" t="str">
        <f t="shared" si="4"/>
        <v>27394.288</v>
      </c>
      <c r="H17" s="8">
        <f t="shared" si="5"/>
        <v>627</v>
      </c>
      <c r="I17" s="47" t="s">
        <v>75</v>
      </c>
      <c r="J17" s="48" t="s">
        <v>76</v>
      </c>
      <c r="K17" s="47">
        <v>627</v>
      </c>
      <c r="L17" s="47" t="s">
        <v>77</v>
      </c>
      <c r="M17" s="48" t="s">
        <v>55</v>
      </c>
      <c r="N17" s="48"/>
      <c r="O17" s="49" t="s">
        <v>56</v>
      </c>
      <c r="P17" s="49" t="s">
        <v>57</v>
      </c>
    </row>
    <row r="18" spans="1:16" ht="12.75" customHeight="1" thickBot="1" x14ac:dyDescent="0.25">
      <c r="A18" s="8" t="str">
        <f t="shared" si="0"/>
        <v> KVBB 19.50 </v>
      </c>
      <c r="B18" s="3" t="str">
        <f t="shared" si="1"/>
        <v>I</v>
      </c>
      <c r="C18" s="8">
        <f t="shared" si="2"/>
        <v>27632.495999999999</v>
      </c>
      <c r="D18" s="10" t="str">
        <f t="shared" si="3"/>
        <v>vis</v>
      </c>
      <c r="E18" s="46">
        <f>VLOOKUP(C18,Active!C$21:E$973,3,FALSE)</f>
        <v>706.99880101158271</v>
      </c>
      <c r="F18" s="3" t="s">
        <v>47</v>
      </c>
      <c r="G18" s="10" t="str">
        <f t="shared" si="4"/>
        <v>27632.496</v>
      </c>
      <c r="H18" s="8">
        <f t="shared" si="5"/>
        <v>707</v>
      </c>
      <c r="I18" s="47" t="s">
        <v>78</v>
      </c>
      <c r="J18" s="48" t="s">
        <v>79</v>
      </c>
      <c r="K18" s="47">
        <v>707</v>
      </c>
      <c r="L18" s="47" t="s">
        <v>80</v>
      </c>
      <c r="M18" s="48" t="s">
        <v>55</v>
      </c>
      <c r="N18" s="48"/>
      <c r="O18" s="49" t="s">
        <v>56</v>
      </c>
      <c r="P18" s="49" t="s">
        <v>57</v>
      </c>
    </row>
    <row r="19" spans="1:16" ht="12.75" customHeight="1" thickBot="1" x14ac:dyDescent="0.25">
      <c r="A19" s="8" t="str">
        <f t="shared" si="0"/>
        <v> VSS 1.149 </v>
      </c>
      <c r="B19" s="3" t="str">
        <f t="shared" si="1"/>
        <v>I</v>
      </c>
      <c r="C19" s="8">
        <f t="shared" si="2"/>
        <v>29791.43</v>
      </c>
      <c r="D19" s="10" t="str">
        <f t="shared" si="3"/>
        <v>vis</v>
      </c>
      <c r="E19" s="46">
        <f>VLOOKUP(C19,Active!C$21:E$973,3,FALSE)</f>
        <v>1432.079153386554</v>
      </c>
      <c r="F19" s="3" t="s">
        <v>47</v>
      </c>
      <c r="G19" s="10" t="str">
        <f t="shared" si="4"/>
        <v>29791.43</v>
      </c>
      <c r="H19" s="8">
        <f t="shared" si="5"/>
        <v>1432</v>
      </c>
      <c r="I19" s="47" t="s">
        <v>81</v>
      </c>
      <c r="J19" s="48" t="s">
        <v>82</v>
      </c>
      <c r="K19" s="47">
        <v>1432</v>
      </c>
      <c r="L19" s="47" t="s">
        <v>83</v>
      </c>
      <c r="M19" s="48" t="s">
        <v>55</v>
      </c>
      <c r="N19" s="48"/>
      <c r="O19" s="49" t="s">
        <v>67</v>
      </c>
      <c r="P19" s="49" t="s">
        <v>68</v>
      </c>
    </row>
    <row r="20" spans="1:16" ht="12.75" customHeight="1" thickBot="1" x14ac:dyDescent="0.25">
      <c r="A20" s="8" t="str">
        <f t="shared" si="0"/>
        <v> BBS 97 </v>
      </c>
      <c r="B20" s="3" t="str">
        <f t="shared" si="1"/>
        <v>I</v>
      </c>
      <c r="C20" s="8">
        <f t="shared" si="2"/>
        <v>48116.39</v>
      </c>
      <c r="D20" s="10" t="str">
        <f t="shared" si="3"/>
        <v>vis</v>
      </c>
      <c r="E20" s="46">
        <f>VLOOKUP(C20,Active!C$21:E$973,3,FALSE)</f>
        <v>7586.5370729233482</v>
      </c>
      <c r="F20" s="3" t="s">
        <v>47</v>
      </c>
      <c r="G20" s="10" t="str">
        <f t="shared" si="4"/>
        <v>48116.39</v>
      </c>
      <c r="H20" s="8">
        <f t="shared" si="5"/>
        <v>7586</v>
      </c>
      <c r="I20" s="47" t="s">
        <v>84</v>
      </c>
      <c r="J20" s="48" t="s">
        <v>85</v>
      </c>
      <c r="K20" s="47">
        <v>7586</v>
      </c>
      <c r="L20" s="47" t="s">
        <v>86</v>
      </c>
      <c r="M20" s="48" t="s">
        <v>87</v>
      </c>
      <c r="N20" s="48" t="s">
        <v>88</v>
      </c>
      <c r="O20" s="49" t="s">
        <v>89</v>
      </c>
      <c r="P20" s="49" t="s">
        <v>90</v>
      </c>
    </row>
    <row r="21" spans="1:16" ht="12.75" customHeight="1" thickBot="1" x14ac:dyDescent="0.25">
      <c r="A21" s="8" t="str">
        <f t="shared" si="0"/>
        <v> BBS 98 </v>
      </c>
      <c r="B21" s="3" t="str">
        <f t="shared" si="1"/>
        <v>I</v>
      </c>
      <c r="C21" s="8">
        <f t="shared" si="2"/>
        <v>48460.485000000001</v>
      </c>
      <c r="D21" s="10" t="str">
        <f t="shared" si="3"/>
        <v>vis</v>
      </c>
      <c r="E21" s="46">
        <f>VLOOKUP(C21,Active!C$21:E$973,3,FALSE)</f>
        <v>7702.1017561653862</v>
      </c>
      <c r="F21" s="3" t="s">
        <v>47</v>
      </c>
      <c r="G21" s="10" t="str">
        <f t="shared" si="4"/>
        <v>48460.485</v>
      </c>
      <c r="H21" s="8">
        <f t="shared" si="5"/>
        <v>7702</v>
      </c>
      <c r="I21" s="47" t="s">
        <v>91</v>
      </c>
      <c r="J21" s="48" t="s">
        <v>92</v>
      </c>
      <c r="K21" s="47">
        <v>7702</v>
      </c>
      <c r="L21" s="47" t="s">
        <v>93</v>
      </c>
      <c r="M21" s="48" t="s">
        <v>87</v>
      </c>
      <c r="N21" s="48" t="s">
        <v>88</v>
      </c>
      <c r="O21" s="49" t="s">
        <v>89</v>
      </c>
      <c r="P21" s="49" t="s">
        <v>94</v>
      </c>
    </row>
    <row r="22" spans="1:16" ht="12.75" customHeight="1" thickBot="1" x14ac:dyDescent="0.25">
      <c r="A22" s="8" t="str">
        <f t="shared" si="0"/>
        <v> BBS 100 </v>
      </c>
      <c r="B22" s="3" t="str">
        <f t="shared" si="1"/>
        <v>II</v>
      </c>
      <c r="C22" s="8">
        <f t="shared" si="2"/>
        <v>48497.535000000003</v>
      </c>
      <c r="D22" s="10" t="str">
        <f t="shared" si="3"/>
        <v>vis</v>
      </c>
      <c r="E22" s="46">
        <f>VLOOKUP(C22,Active!C$21:E$973,3,FALSE)</f>
        <v>7714.5450393113715</v>
      </c>
      <c r="F22" s="3" t="s">
        <v>47</v>
      </c>
      <c r="G22" s="10" t="str">
        <f t="shared" si="4"/>
        <v>48497.535</v>
      </c>
      <c r="H22" s="8">
        <f t="shared" si="5"/>
        <v>7714.5</v>
      </c>
      <c r="I22" s="47" t="s">
        <v>95</v>
      </c>
      <c r="J22" s="48" t="s">
        <v>96</v>
      </c>
      <c r="K22" s="47">
        <v>7714.5</v>
      </c>
      <c r="L22" s="47" t="s">
        <v>97</v>
      </c>
      <c r="M22" s="48" t="s">
        <v>87</v>
      </c>
      <c r="N22" s="48" t="s">
        <v>88</v>
      </c>
      <c r="O22" s="49" t="s">
        <v>89</v>
      </c>
      <c r="P22" s="49" t="s">
        <v>98</v>
      </c>
    </row>
    <row r="23" spans="1:16" ht="12.75" customHeight="1" thickBot="1" x14ac:dyDescent="0.25">
      <c r="A23" s="8" t="str">
        <f t="shared" si="0"/>
        <v>BAVM 193 </v>
      </c>
      <c r="B23" s="3" t="str">
        <f t="shared" si="1"/>
        <v>I</v>
      </c>
      <c r="C23" s="8">
        <f t="shared" si="2"/>
        <v>54385.301399999997</v>
      </c>
      <c r="D23" s="10" t="str">
        <f t="shared" si="3"/>
        <v>vis</v>
      </c>
      <c r="E23" s="46">
        <f>VLOOKUP(C23,Active!C$21:E$973,3,FALSE)</f>
        <v>9691.9578439702946</v>
      </c>
      <c r="F23" s="3" t="s">
        <v>47</v>
      </c>
      <c r="G23" s="10" t="str">
        <f t="shared" si="4"/>
        <v>54385.3014</v>
      </c>
      <c r="H23" s="8">
        <f t="shared" si="5"/>
        <v>9692</v>
      </c>
      <c r="I23" s="47" t="s">
        <v>99</v>
      </c>
      <c r="J23" s="48" t="s">
        <v>100</v>
      </c>
      <c r="K23" s="47">
        <v>9692</v>
      </c>
      <c r="L23" s="47" t="s">
        <v>101</v>
      </c>
      <c r="M23" s="48" t="s">
        <v>102</v>
      </c>
      <c r="N23" s="48" t="s">
        <v>103</v>
      </c>
      <c r="O23" s="49" t="s">
        <v>104</v>
      </c>
      <c r="P23" s="50" t="s">
        <v>105</v>
      </c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</sheetData>
  <phoneticPr fontId="8" type="noConversion"/>
  <hyperlinks>
    <hyperlink ref="A3" r:id="rId1"/>
    <hyperlink ref="P23" r:id="rId2" display="http://www.bav-astro.de/sfs/BAVM_link.php?BAVMnr=19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2024-02-06T05:13:26Z</dcterms:modified>
</cp:coreProperties>
</file>