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B39340A-F76B-402F-B0E8-131F154C97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F11" i="1"/>
  <c r="Q22" i="1"/>
  <c r="Q23" i="1"/>
  <c r="Q24" i="1"/>
  <c r="C7" i="1"/>
  <c r="E22" i="1"/>
  <c r="F22" i="1"/>
  <c r="C8" i="1"/>
  <c r="E21" i="1"/>
  <c r="F21" i="1"/>
  <c r="G21" i="1"/>
  <c r="H21" i="1"/>
  <c r="G11" i="1"/>
  <c r="Q21" i="1"/>
  <c r="E15" i="1"/>
  <c r="C17" i="1"/>
  <c r="E23" i="1"/>
  <c r="F23" i="1"/>
  <c r="G23" i="1"/>
  <c r="I23" i="1"/>
  <c r="G22" i="1"/>
  <c r="G24" i="1"/>
  <c r="I24" i="1"/>
  <c r="I22" i="1"/>
  <c r="C11" i="1"/>
  <c r="C12" i="1"/>
  <c r="C16" i="1" l="1"/>
  <c r="D18" i="1" s="1"/>
  <c r="O23" i="1"/>
  <c r="C15" i="1"/>
  <c r="O24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<sst xmlns="http://schemas.openxmlformats.org/spreadsheetml/2006/main" count="51" uniqueCount="44">
  <si>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</si>
  <si>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</si>
  <si>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</si>
  <si>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</si>
  <si>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</si>
  <si>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</si>
  <si>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</si>
  <si>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</si>
  <si>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</si>
  <si>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</si>
  <si>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</si>
  <si>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</si>
  <si>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</si>
  <si>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</si>
  <si>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</si>
  <si>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</si>
  <si>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</si>
  <si>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</si>
  <si>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</si>
  <si>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</si>
  <si>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</si>
  <si>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</si>
  <si>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</si>
  <si>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</si>
  <si>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</si>
  <si>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</si>
  <si>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</si>
  <si>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</si>
  <si>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</si>
  <si>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</si>
  <si>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</si>
  <si>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</si>
  <si>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</si>
  <si>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</si>
  <si>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</si>
  <si>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</si>
  <si>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</si>
  <si>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</si>
  <si>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</si>
  <si>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</si>
  <si>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>FK Del / na</t>
  </si>
  <si>
    <t xml:space="preserve">EW/KE     </t>
  </si>
  <si>
    <t>IBVS 5761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</si>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</sst>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FK Del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2198.5</c:v>
                </c:pt>
                <c:pt idx="2">
                  <c:v>2236</c:v>
                </c:pt>
                <c:pt idx="3">
                  <c:v>2251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1B-42A3-9465-532E8F1F774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2198.5</c:v>
                </c:pt>
                <c:pt idx="2">
                  <c:v>2236</c:v>
                </c:pt>
                <c:pt idx="3">
                  <c:v>2251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9.1552999947452918E-3</c:v>
                </c:pt>
                <c:pt idx="2">
                  <c:v>-6.4271999945049174E-3</c:v>
                </c:pt>
                <c:pt idx="3">
                  <c:v>-9.580199999618344E-3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1B-42A3-9465-532E8F1F774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2198.5</c:v>
                </c:pt>
                <c:pt idx="2">
                  <c:v>2236</c:v>
                </c:pt>
                <c:pt idx="3">
                  <c:v>2251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1B-42A3-9465-532E8F1F774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2198.5</c:v>
                </c:pt>
                <c:pt idx="2">
                  <c:v>2236</c:v>
                </c:pt>
                <c:pt idx="3">
                  <c:v>2251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1B-42A3-9465-532E8F1F774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2198.5</c:v>
                </c:pt>
                <c:pt idx="2">
                  <c:v>2236</c:v>
                </c:pt>
                <c:pt idx="3">
                  <c:v>2251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1B-42A3-9465-532E8F1F774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2198.5</c:v>
                </c:pt>
                <c:pt idx="2">
                  <c:v>2236</c:v>
                </c:pt>
                <c:pt idx="3">
                  <c:v>2251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1B-42A3-9465-532E8F1F774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3.2000000000000002E-3</c:v>
                  </c:pt>
                  <c:pt idx="2">
                    <c:v>1E-3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2198.5</c:v>
                </c:pt>
                <c:pt idx="2">
                  <c:v>2236</c:v>
                </c:pt>
                <c:pt idx="3">
                  <c:v>2251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1B-42A3-9465-532E8F1F774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2198.5</c:v>
                </c:pt>
                <c:pt idx="2">
                  <c:v>2236</c:v>
                </c:pt>
                <c:pt idx="3">
                  <c:v>2251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2.4083814886239263E-4</c:v>
                </c:pt>
                <c:pt idx="1">
                  <c:v>-2.3292422534602979E-3</c:v>
                </c:pt>
                <c:pt idx="2">
                  <c:v>-2.3730803317350765E-3</c:v>
                </c:pt>
                <c:pt idx="3">
                  <c:v>-2.3906155630449883E-3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1B-42A3-9465-532E8F1F7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522632"/>
        <c:axId val="1"/>
      </c:scatterChart>
      <c:valAx>
        <c:axId val="697522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522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A03CEC-6DD2-542D-6EBB-7622F3B8A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52500.627</v>
      </c>
      <c r="G1" s="3">
        <v>0.66673020000000005</v>
      </c>
      <c r="H1" s="3" t="s">
        <v>41</v>
      </c>
    </row>
    <row r="2" spans="1:8" x14ac:dyDescent="0.2">
      <c r="A2" t="s">
        <v>22</v>
      </c>
      <c r="B2" t="s">
        <v>41</v>
      </c>
      <c r="C2" s="3"/>
      <c r="D2" s="3"/>
    </row>
    <row r="3" spans="1:8" ht="13.5" thickBot="1" x14ac:dyDescent="0.25"/>
    <row r="4" spans="1:8" ht="14.25" thickTop="1" thickBot="1" x14ac:dyDescent="0.25">
      <c r="A4" s="5" t="s">
        <v>39</v>
      </c>
      <c r="C4" s="8">
        <v>52500.627</v>
      </c>
      <c r="D4" s="9">
        <v>0.66673020000000005</v>
      </c>
    </row>
    <row r="5" spans="1:8" x14ac:dyDescent="0.2">
      <c r="C5" s="31" t="s">
        <v>37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52500.627</v>
      </c>
    </row>
    <row r="8" spans="1:8" x14ac:dyDescent="0.2">
      <c r="A8" t="s">
        <v>2</v>
      </c>
      <c r="C8">
        <f>D4</f>
        <v>0.66673020000000005</v>
      </c>
      <c r="D8" s="30"/>
    </row>
    <row r="9" spans="1:8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4">
        <f ca="1">INTERCEPT(INDIRECT($G$11):G975,INDIRECT($F$11):F975)</f>
        <v>2.4083814886239263E-4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x14ac:dyDescent="0.2">
      <c r="A12" s="12" t="s">
        <v>15</v>
      </c>
      <c r="B12" s="12"/>
      <c r="C12" s="24">
        <f ca="1">SLOPE(INDIRECT($G$11):G975,INDIRECT($F$11):F975)</f>
        <v>-1.1690154206607645E-6</v>
      </c>
      <c r="D12" s="3"/>
      <c r="E12" s="12"/>
    </row>
    <row r="13" spans="1:8" x14ac:dyDescent="0.2">
      <c r="A13" s="12" t="s">
        <v>17</v>
      </c>
      <c r="B13" s="12"/>
      <c r="C13" s="3" t="s">
        <v>12</v>
      </c>
      <c r="D13" s="3"/>
      <c r="E13" s="12"/>
    </row>
    <row r="14" spans="1:8" x14ac:dyDescent="0.2">
      <c r="A14" s="12"/>
      <c r="B14" s="12"/>
      <c r="C14" s="12"/>
      <c r="D14" s="12"/>
      <c r="E14" s="12"/>
    </row>
    <row r="15" spans="1:8" x14ac:dyDescent="0.2">
      <c r="A15" s="14" t="s">
        <v>16</v>
      </c>
      <c r="B15" s="12"/>
      <c r="C15" s="15">
        <f ca="1">(C7+C11)+(C8+C12)*INT(MAX(F21:F3516))</f>
        <v>54001.434289584438</v>
      </c>
      <c r="D15" s="16" t="s">
        <v>31</v>
      </c>
      <c r="E15" s="17">
        <f ca="1">TODAY()+15018.5-B9/24</f>
        <v>60346.5</v>
      </c>
    </row>
    <row r="16" spans="1:8" x14ac:dyDescent="0.2">
      <c r="A16" s="18" t="s">
        <v>3</v>
      </c>
      <c r="B16" s="12"/>
      <c r="C16" s="19">
        <f ca="1">+C8+C12</f>
        <v>0.66672903098457936</v>
      </c>
      <c r="D16" s="16" t="s">
        <v>32</v>
      </c>
      <c r="E16" s="17">
        <f ca="1">ROUND(2*(E15-C15)/C16,0)/2+1</f>
        <v>9517.5</v>
      </c>
    </row>
    <row r="17" spans="1:17" ht="13.5" thickBot="1" x14ac:dyDescent="0.25">
      <c r="A17" s="16" t="s">
        <v>28</v>
      </c>
      <c r="B17" s="12"/>
      <c r="C17" s="12">
        <f>COUNT(C21:C2174)</f>
        <v>4</v>
      </c>
      <c r="D17" s="16" t="s">
        <v>33</v>
      </c>
      <c r="E17" s="20">
        <f ca="1">+C15+C16*E16-15018.5-C9/24</f>
        <v>45328.923675313512</v>
      </c>
    </row>
    <row r="18" spans="1:17" ht="14.25" thickTop="1" thickBot="1" x14ac:dyDescent="0.25">
      <c r="A18" s="18" t="s">
        <v>4</v>
      </c>
      <c r="B18" s="12"/>
      <c r="C18" s="21">
        <f ca="1">+C15</f>
        <v>54001.434289584438</v>
      </c>
      <c r="D18" s="22">
        <f ca="1">+C16</f>
        <v>0.66672903098457936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43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v>52500.627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2.4083814886239263E-4</v>
      </c>
      <c r="Q21" s="2">
        <f>+C21-15018.5</f>
        <v>37482.127</v>
      </c>
    </row>
    <row r="22" spans="1:17" x14ac:dyDescent="0.2">
      <c r="A22" s="29" t="s">
        <v>42</v>
      </c>
      <c r="B22" s="34" t="s">
        <v>36</v>
      </c>
      <c r="C22" s="29">
        <v>53966.442499999997</v>
      </c>
      <c r="D22" s="29">
        <v>3.2000000000000002E-3</v>
      </c>
      <c r="E22">
        <f>+(C22-C$7)/C$8</f>
        <v>2198.5137316413698</v>
      </c>
      <c r="F22">
        <f>ROUND(2*E22,0)/2</f>
        <v>2198.5</v>
      </c>
      <c r="G22">
        <f>+C22-(C$7+F22*C$8)</f>
        <v>9.1552999947452918E-3</v>
      </c>
      <c r="I22">
        <f>+G22</f>
        <v>9.1552999947452918E-3</v>
      </c>
      <c r="O22">
        <f ca="1">+C$11+C$12*$F22</f>
        <v>-2.3292422534602979E-3</v>
      </c>
      <c r="Q22" s="2">
        <f>+C22-15018.5</f>
        <v>38947.942499999997</v>
      </c>
    </row>
    <row r="23" spans="1:17" x14ac:dyDescent="0.2">
      <c r="A23" s="29" t="s">
        <v>42</v>
      </c>
      <c r="B23" s="34" t="s">
        <v>36</v>
      </c>
      <c r="C23" s="29">
        <v>53991.429300000003</v>
      </c>
      <c r="D23" s="29">
        <v>1E-3</v>
      </c>
      <c r="E23">
        <f>+(C23-C$7)/C$8</f>
        <v>2235.9903601186852</v>
      </c>
      <c r="F23">
        <f>ROUND(2*E23,0)/2</f>
        <v>2236</v>
      </c>
      <c r="G23">
        <f>+C23-(C$7+F23*C$8)</f>
        <v>-6.4271999945049174E-3</v>
      </c>
      <c r="I23">
        <f>+G23</f>
        <v>-6.4271999945049174E-3</v>
      </c>
      <c r="O23">
        <f ca="1">+C$11+C$12*$F23</f>
        <v>-2.3730803317350765E-3</v>
      </c>
      <c r="Q23" s="2">
        <f>+C23-15018.5</f>
        <v>38972.929300000003</v>
      </c>
    </row>
    <row r="24" spans="1:17" x14ac:dyDescent="0.2">
      <c r="A24" s="29" t="s">
        <v>42</v>
      </c>
      <c r="B24" s="34" t="s">
        <v>36</v>
      </c>
      <c r="C24" s="29">
        <v>54001.427100000001</v>
      </c>
      <c r="D24" s="29">
        <v>1.6000000000000001E-3</v>
      </c>
      <c r="E24">
        <f>+(C24-C$7)/C$8</f>
        <v>2250.9856310693594</v>
      </c>
      <c r="F24">
        <f>ROUND(2*E24,0)/2</f>
        <v>2251</v>
      </c>
      <c r="G24">
        <f>+C24-(C$7+F24*C$8)</f>
        <v>-9.580199999618344E-3</v>
      </c>
      <c r="I24">
        <f>+G24</f>
        <v>-9.580199999618344E-3</v>
      </c>
      <c r="O24">
        <f ca="1">+C$11+C$12*$F24</f>
        <v>-2.3906155630449883E-3</v>
      </c>
      <c r="Q24" s="2">
        <f>+C24-15018.5</f>
        <v>38982.927100000001</v>
      </c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2024-02-06T05:31:15Z</dcterms:modified>
</cp:coreProperties>
</file>