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C9C81B0-2DD4-438F-B0F0-83DAEA5A5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</sheets>
  <calcPr calcId="181029"/>
</workbook>
</file>

<file path=xl/calcChain.xml><?xml version="1.0" encoding="utf-8"?>
<calcChain xmlns="http://schemas.openxmlformats.org/spreadsheetml/2006/main">
  <c r="F21" i="3" l="1"/>
  <c r="E21" i="3"/>
  <c r="Q21" i="3"/>
  <c r="F14" i="3"/>
  <c r="E25" i="3"/>
  <c r="F25" i="3" s="1"/>
  <c r="G25" i="3" s="1"/>
  <c r="I25" i="3" s="1"/>
  <c r="D9" i="3"/>
  <c r="C9" i="3"/>
  <c r="Q25" i="3"/>
  <c r="E23" i="3"/>
  <c r="F23" i="3" s="1"/>
  <c r="G23" i="3" s="1"/>
  <c r="I23" i="3" s="1"/>
  <c r="E24" i="3"/>
  <c r="F24" i="3"/>
  <c r="G24" i="3" s="1"/>
  <c r="I24" i="3" s="1"/>
  <c r="E22" i="3"/>
  <c r="F22" i="3"/>
  <c r="G22" i="3"/>
  <c r="I22" i="3" s="1"/>
  <c r="C17" i="3"/>
  <c r="Q22" i="3"/>
  <c r="Q23" i="3"/>
  <c r="R23" i="3"/>
  <c r="Q24" i="3"/>
  <c r="C12" i="3"/>
  <c r="C11" i="3"/>
  <c r="G21" i="3" l="1"/>
  <c r="H21" i="3" s="1"/>
  <c r="O21" i="3"/>
  <c r="F15" i="3"/>
  <c r="C16" i="3"/>
  <c r="D18" i="3" s="1"/>
  <c r="O24" i="3"/>
  <c r="O23" i="3"/>
  <c r="O22" i="3"/>
  <c r="O25" i="3"/>
  <c r="C15" i="3"/>
  <c r="F16" i="3" s="1"/>
  <c r="F18" i="3" l="1"/>
  <c r="F17" i="3"/>
  <c r="C18" i="3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<sst xmlns="http://schemas.openxmlformats.org/spreadsheetml/2006/main" count="57" uniqueCount="51">
  <si>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</si>
  <si>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</si>
  <si>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</si>
  <si>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</si>
  <si>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</si>
  <si>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</si>
  <si>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</si>
  <si>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</si>
  <si>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</si>
  <si>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</si>
  <si>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</si>
  <si>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</si>
  <si>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</si>
  <si>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</si>
  <si>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</si>
  <si>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</si>
  <si>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</si>
  <si>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</si>
  <si>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</si>
  <si>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</si>
  <si>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</si>
  <si>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</si>
  <si>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</si>
  <si>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</si>
  <si>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</si>
  <si>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</si>
  <si>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</si>
  <si>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</si>
  <si>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</si>
  <si>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</si>
  <si>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</si>
  <si>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</si>
  <si>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</si>
  <si>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</si>
  <si>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</si>
  <si>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</si>
  <si>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</si>
  <si>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GSC 4449-0995</t>
  </si>
  <si>
    <t>Dra</t>
  </si>
  <si>
    <t>Nelson (unpubl.)</t>
  </si>
  <si>
    <t>not avail.</t>
  </si>
  <si>
    <t>IBVS 6018</t>
  </si>
  <si>
    <t>G4449-0995</t>
  </si>
  <si>
    <t>RHN 2018</t>
  </si>
  <si>
    <t>CCD</t>
  </si>
  <si>
    <t>Next ToM-P</t>
  </si>
  <si>
    <t>Next ToM-S</t>
  </si>
  <si>
    <t>VSX</t>
  </si>
  <si>
    <t>11.10-11.61</t>
  </si>
  <si>
    <t xml:space="preserve">Mag R1 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</si>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</sst>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14" fontId="14" fillId="0" borderId="0" xfId="0" applyNumberFormat="1" applyFont="1" applyAlignment="1"/>
    <xf numFmtId="0" fontId="10" fillId="0" borderId="0" xfId="0" applyFont="1" applyAlignment="1"/>
    <xf numFmtId="0" fontId="14" fillId="0" borderId="0" xfId="0" applyFont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4449-0995 -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6-4440-B047-B95BEF1399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2.8049999993527308E-2</c:v>
                </c:pt>
                <c:pt idx="2">
                  <c:v>1.3859999999112915E-2</c:v>
                </c:pt>
                <c:pt idx="3">
                  <c:v>1.277999999729218E-2</c:v>
                </c:pt>
                <c:pt idx="4">
                  <c:v>-0.19313999999576481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6-4440-B047-B95BEF1399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6-4440-B047-B95BEF1399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6-4440-B047-B95BEF1399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6-4440-B047-B95BEF1399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6-4440-B047-B95BEF1399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6-4440-B047-B95BEF1399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14502.5</c:v>
                </c:pt>
                <c:pt idx="2">
                  <c:v>15783</c:v>
                </c:pt>
                <c:pt idx="3">
                  <c:v>15919</c:v>
                </c:pt>
                <c:pt idx="4">
                  <c:v>24773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6.0883648490362145E-2</c:v>
                </c:pt>
                <c:pt idx="1">
                  <c:v>-2.9605544369938237E-2</c:v>
                </c:pt>
                <c:pt idx="2">
                  <c:v>-3.7595298650759786E-2</c:v>
                </c:pt>
                <c:pt idx="3">
                  <c:v>-3.8443878566567467E-2</c:v>
                </c:pt>
                <c:pt idx="4">
                  <c:v>-9.3688926908929077E-2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6-4440-B047-B95BEF139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9776"/>
        <c:axId val="1"/>
      </c:scatterChart>
      <c:valAx>
        <c:axId val="67196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9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97937099967764"/>
          <c:w val="0.648120300751879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A0700B94-D014-DA33-8DC8-5675DD73B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s="25" t="s">
        <v>50</v>
      </c>
      <c r="D2" t="s">
        <v>38</v>
      </c>
      <c r="E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40</v>
      </c>
      <c r="D4" s="27" t="s">
        <v>40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  <c r="E6" s="45" t="s">
        <v>39</v>
      </c>
    </row>
    <row r="7" spans="1:6" x14ac:dyDescent="0.2">
      <c r="A7" t="s">
        <v>2</v>
      </c>
      <c r="C7">
        <v>51282.93</v>
      </c>
      <c r="D7" s="35" t="s">
        <v>47</v>
      </c>
      <c r="E7" s="46">
        <v>55325.964999999997</v>
      </c>
    </row>
    <row r="8" spans="1:6" x14ac:dyDescent="0.2">
      <c r="A8" t="s">
        <v>3</v>
      </c>
      <c r="C8">
        <v>0.27877999999999997</v>
      </c>
      <c r="D8" s="35" t="s">
        <v>47</v>
      </c>
      <c r="E8" s="47">
        <v>0.27877999999999997</v>
      </c>
    </row>
    <row r="9" spans="1:6" x14ac:dyDescent="0.2">
      <c r="A9" s="23" t="s">
        <v>33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20</v>
      </c>
      <c r="D10" s="3" t="s">
        <v>21</v>
      </c>
      <c r="E10" s="9"/>
    </row>
    <row r="11" spans="1:6" x14ac:dyDescent="0.2">
      <c r="A11" s="9" t="s">
        <v>15</v>
      </c>
      <c r="B11" s="9"/>
      <c r="C11" s="20">
        <f ca="1">INTERCEPT(INDIRECT($D$9):G992,INDIRECT($C$9):F992)</f>
        <v>6.0883648490362145E-2</v>
      </c>
      <c r="D11" s="11"/>
      <c r="E11" s="9"/>
    </row>
    <row r="12" spans="1:6" x14ac:dyDescent="0.2">
      <c r="A12" s="9" t="s">
        <v>16</v>
      </c>
      <c r="B12" s="9"/>
      <c r="C12" s="20">
        <f ca="1">SLOPE(INDIRECT($D$9):G992,INDIRECT($C$9):F992)</f>
        <v>-6.2395582044682211E-6</v>
      </c>
      <c r="D12" s="11"/>
      <c r="E12" s="39" t="s">
        <v>49</v>
      </c>
      <c r="F12" s="42" t="s">
        <v>48</v>
      </c>
    </row>
    <row r="13" spans="1:6" x14ac:dyDescent="0.2">
      <c r="A13" s="9" t="s">
        <v>19</v>
      </c>
      <c r="B13" s="9"/>
      <c r="C13" s="11" t="s">
        <v>13</v>
      </c>
      <c r="E13" s="37" t="s">
        <v>34</v>
      </c>
      <c r="F13" s="41">
        <v>1</v>
      </c>
    </row>
    <row r="14" spans="1:6" x14ac:dyDescent="0.2">
      <c r="A14" s="9"/>
      <c r="B14" s="9"/>
      <c r="C14" s="9"/>
      <c r="E14" s="37" t="s">
        <v>32</v>
      </c>
      <c r="F14" s="40">
        <f ca="1">NOW()+15018.5+$C$5/24</f>
        <v>60527.807408217588</v>
      </c>
    </row>
    <row r="15" spans="1:6" x14ac:dyDescent="0.2">
      <c r="A15" s="12" t="s">
        <v>17</v>
      </c>
      <c r="B15" s="9"/>
      <c r="C15" s="13">
        <f ca="1">(C7+C11)+(C8+C12)*INT(MAX(F21:F3533))</f>
        <v>58189.053251073092</v>
      </c>
      <c r="E15" s="37" t="s">
        <v>35</v>
      </c>
      <c r="F15" s="40">
        <f ca="1">ROUND(2*($F$14-$C$7)/$C$8,0)/2+$F$13</f>
        <v>33163</v>
      </c>
    </row>
    <row r="16" spans="1:6" x14ac:dyDescent="0.2">
      <c r="A16" s="15" t="s">
        <v>4</v>
      </c>
      <c r="B16" s="9"/>
      <c r="C16" s="16">
        <f ca="1">+C8+C12</f>
        <v>0.27877376044179553</v>
      </c>
      <c r="E16" s="37" t="s">
        <v>36</v>
      </c>
      <c r="F16" s="40">
        <f ca="1">ROUND(2*($F$14-$C$15)/$C$16,0)/2+$F$13</f>
        <v>8390.5</v>
      </c>
    </row>
    <row r="17" spans="1:18" ht="13.5" thickBot="1" x14ac:dyDescent="0.25">
      <c r="A17" s="14" t="s">
        <v>29</v>
      </c>
      <c r="B17" s="9"/>
      <c r="C17" s="9">
        <f>COUNT(C21:C2191)</f>
        <v>5</v>
      </c>
      <c r="E17" s="37" t="s">
        <v>45</v>
      </c>
      <c r="F17" s="43">
        <f ca="1">+$C$15+$C$16*$F$16-15018.5-$C$5/24</f>
        <v>45510.000321393316</v>
      </c>
    </row>
    <row r="18" spans="1:18" ht="14.25" thickTop="1" thickBot="1" x14ac:dyDescent="0.25">
      <c r="A18" s="15" t="s">
        <v>5</v>
      </c>
      <c r="B18" s="9"/>
      <c r="C18" s="18">
        <f ca="1">+C15</f>
        <v>58189.053251073092</v>
      </c>
      <c r="D18" s="19">
        <f ca="1">+C16</f>
        <v>0.27877376044179553</v>
      </c>
      <c r="E18" s="38" t="s">
        <v>46</v>
      </c>
      <c r="F18" s="44">
        <f ca="1">+($C$15+$C$16*$F$16)-($C$16/2)-15018.5-$C$5/24</f>
        <v>45509.860934513097</v>
      </c>
    </row>
    <row r="19" spans="1:18" ht="13.5" thickTop="1" x14ac:dyDescent="0.2">
      <c r="E19" s="14"/>
      <c r="F19" s="17"/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47</v>
      </c>
      <c r="I20" s="6" t="s">
        <v>44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</row>
    <row r="21" spans="1:18" x14ac:dyDescent="0.2">
      <c r="A21" s="31" t="s">
        <v>47</v>
      </c>
      <c r="C21" s="7">
        <v>51282.93</v>
      </c>
      <c r="D21" s="7"/>
      <c r="E21" s="31">
        <f>+(C21-C$7)/C$8</f>
        <v>0</v>
      </c>
      <c r="F21" s="31">
        <f>ROUND(2*E21,0)/2</f>
        <v>0</v>
      </c>
      <c r="G21" s="31">
        <f>+C21-(C$7+F21*C$8)</f>
        <v>0</v>
      </c>
      <c r="H21" s="31">
        <f>G21</f>
        <v>0</v>
      </c>
      <c r="I21" s="31"/>
      <c r="J21" s="32"/>
      <c r="K21" s="31"/>
      <c r="L21" s="31"/>
      <c r="M21" s="31"/>
      <c r="N21" s="31"/>
      <c r="O21" s="31">
        <f ca="1">+C$11+C$12*F21</f>
        <v>6.0883648490362145E-2</v>
      </c>
      <c r="P21" s="33"/>
      <c r="Q21" s="34">
        <f>+C21-15018.5</f>
        <v>36264.43</v>
      </c>
    </row>
    <row r="22" spans="1:18" x14ac:dyDescent="0.2">
      <c r="A22" s="36" t="s">
        <v>39</v>
      </c>
      <c r="B22" s="28"/>
      <c r="C22" s="29">
        <v>55325.964999999997</v>
      </c>
      <c r="D22" s="30"/>
      <c r="E22" s="31">
        <f>+(C22-C$7)/C$8</f>
        <v>14502.600616973947</v>
      </c>
      <c r="F22" s="31">
        <f>ROUND(2*E22,0)/2</f>
        <v>14502.5</v>
      </c>
      <c r="G22" s="31">
        <f>+C22-(C$7+F22*C$8)</f>
        <v>2.8049999993527308E-2</v>
      </c>
      <c r="I22" s="31">
        <f>G22</f>
        <v>2.8049999993527308E-2</v>
      </c>
      <c r="J22" s="32"/>
      <c r="K22" s="31"/>
      <c r="L22" s="31"/>
      <c r="M22" s="31"/>
      <c r="N22" s="31"/>
      <c r="O22" s="31">
        <f ca="1">+C$11+C$12*F22</f>
        <v>-2.9605544369938237E-2</v>
      </c>
      <c r="P22" s="33"/>
      <c r="Q22" s="34">
        <f>+C22-15018.5</f>
        <v>40307.464999999997</v>
      </c>
    </row>
    <row r="23" spans="1:18" x14ac:dyDescent="0.2">
      <c r="A23" s="31" t="s">
        <v>41</v>
      </c>
      <c r="B23" s="31"/>
      <c r="C23" s="30">
        <v>55682.928599999999</v>
      </c>
      <c r="D23" s="30">
        <v>2.0000000000000001E-4</v>
      </c>
      <c r="E23" s="31">
        <f>+(C23-C$7)/C$8</f>
        <v>15783.049716622425</v>
      </c>
      <c r="F23" s="31">
        <f>ROUND(2*E23,0)/2</f>
        <v>15783</v>
      </c>
      <c r="G23" s="31">
        <f>+C23-(C$7+F23*C$8)</f>
        <v>1.3859999999112915E-2</v>
      </c>
      <c r="I23" s="31">
        <f>G23</f>
        <v>1.3859999999112915E-2</v>
      </c>
      <c r="J23" s="32"/>
      <c r="K23" s="31"/>
      <c r="L23" s="31"/>
      <c r="M23" s="31"/>
      <c r="N23" s="31"/>
      <c r="O23" s="31">
        <f ca="1">+C$11+C$12*F23</f>
        <v>-3.7595298650759786E-2</v>
      </c>
      <c r="P23" s="33"/>
      <c r="Q23" s="34">
        <f>+C23-15018.5</f>
        <v>40664.428599999999</v>
      </c>
      <c r="R23" t="str">
        <f>IF(ABS(C23-C22)&lt;0.00001,1,"")</f>
        <v/>
      </c>
    </row>
    <row r="24" spans="1:18" x14ac:dyDescent="0.2">
      <c r="A24" s="31" t="s">
        <v>41</v>
      </c>
      <c r="C24" s="7">
        <v>55720.8416</v>
      </c>
      <c r="D24" s="7">
        <v>2.9999999999999997E-4</v>
      </c>
      <c r="E24" s="31">
        <f>+(C24-C$7)/C$8</f>
        <v>15919.045842599899</v>
      </c>
      <c r="F24" s="31">
        <f>ROUND(2*E24,0)/2</f>
        <v>15919</v>
      </c>
      <c r="G24" s="31">
        <f>+C24-(C$7+F24*C$8)</f>
        <v>1.277999999729218E-2</v>
      </c>
      <c r="I24" s="31">
        <f>G24</f>
        <v>1.277999999729218E-2</v>
      </c>
      <c r="J24" s="32"/>
      <c r="K24" s="31"/>
      <c r="L24" s="31"/>
      <c r="M24" s="31"/>
      <c r="N24" s="31"/>
      <c r="O24" s="31">
        <f ca="1">+C$11+C$12*F24</f>
        <v>-3.8443878566567467E-2</v>
      </c>
      <c r="P24" s="33"/>
      <c r="Q24" s="34">
        <f>+C24-15018.5</f>
        <v>40702.3416</v>
      </c>
    </row>
    <row r="25" spans="1:18" x14ac:dyDescent="0.2">
      <c r="A25" s="31" t="s">
        <v>43</v>
      </c>
      <c r="C25" s="7">
        <v>58188.953800000003</v>
      </c>
      <c r="D25" s="7">
        <v>4.0000000000000002E-4</v>
      </c>
      <c r="E25" s="31">
        <f>+(C25-C$7)/C$8</f>
        <v>24772.30719563815</v>
      </c>
      <c r="F25" s="31">
        <f>ROUND(2*E25,0)/2+0.5</f>
        <v>24773</v>
      </c>
      <c r="G25" s="31">
        <f>+C25-(C$7+F25*C$8)</f>
        <v>-0.19313999999576481</v>
      </c>
      <c r="I25" s="31">
        <f>G25</f>
        <v>-0.19313999999576481</v>
      </c>
      <c r="J25" s="32"/>
      <c r="K25" s="31"/>
      <c r="L25" s="31"/>
      <c r="M25" s="31"/>
      <c r="N25" s="31"/>
      <c r="O25" s="31">
        <f ca="1">+C$11+C$12*F25</f>
        <v>-9.3688926908929077E-2</v>
      </c>
      <c r="P25" s="33"/>
      <c r="Q25" s="34">
        <f>+C25-15018.5</f>
        <v>43170.453800000003</v>
      </c>
    </row>
    <row r="26" spans="1:18" x14ac:dyDescent="0.2">
      <c r="C26" s="7"/>
      <c r="D26" s="7"/>
      <c r="Q26" s="2"/>
    </row>
    <row r="27" spans="1:18" x14ac:dyDescent="0.2">
      <c r="C27" s="7"/>
      <c r="D27" s="7"/>
      <c r="Q27" s="2"/>
    </row>
    <row r="28" spans="1:18" x14ac:dyDescent="0.2">
      <c r="C28" s="7"/>
      <c r="D28" s="7"/>
      <c r="Q28" s="2"/>
    </row>
    <row r="29" spans="1:18" x14ac:dyDescent="0.2">
      <c r="C29" s="7"/>
      <c r="D29" s="7"/>
      <c r="Q29" s="2"/>
    </row>
    <row r="30" spans="1:18" x14ac:dyDescent="0.2">
      <c r="C30" s="7"/>
      <c r="D30" s="7"/>
      <c r="Q30" s="2"/>
    </row>
    <row r="31" spans="1:18" x14ac:dyDescent="0.2">
      <c r="C31" s="7"/>
      <c r="D31" s="7"/>
      <c r="Q31" s="2"/>
    </row>
    <row r="32" spans="1:18" x14ac:dyDescent="0.2">
      <c r="C32" s="7"/>
      <c r="D32" s="7"/>
      <c r="Q32" s="2"/>
    </row>
    <row r="33" spans="3:17" x14ac:dyDescent="0.2">
      <c r="C33" s="7"/>
      <c r="D33" s="7"/>
      <c r="Q33" s="2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T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2024-08-05T07:22:40Z</dcterms:modified>
</cp:coreProperties>
</file>