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CC165E-F7B2-4388-931F-721519169A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25" i="1" l="1"/>
  <c r="J25" i="1" s="1"/>
  <c r="E25" i="1"/>
  <c r="F25" i="1" s="1"/>
  <c r="Q25" i="1"/>
  <c r="E30" i="1"/>
  <c r="F30" i="1" s="1"/>
  <c r="Q30" i="1"/>
  <c r="F14" i="1"/>
  <c r="Q28" i="1"/>
  <c r="D9" i="1"/>
  <c r="C9" i="1"/>
  <c r="G15" i="2"/>
  <c r="C15" i="2"/>
  <c r="G16" i="2"/>
  <c r="C16" i="2"/>
  <c r="G14" i="2"/>
  <c r="C14" i="2"/>
  <c r="G13" i="2"/>
  <c r="C13" i="2"/>
  <c r="G12" i="2"/>
  <c r="C12" i="2"/>
  <c r="G11" i="2"/>
  <c r="C11" i="2"/>
  <c r="H15" i="2"/>
  <c r="D15" i="2"/>
  <c r="B15" i="2"/>
  <c r="A15" i="2"/>
  <c r="H16" i="2"/>
  <c r="D16" i="2"/>
  <c r="B16" i="2"/>
  <c r="A16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6" i="1"/>
  <c r="Q27" i="1"/>
  <c r="Q29" i="1"/>
  <c r="Q22" i="1"/>
  <c r="C17" i="1"/>
  <c r="Q23" i="1"/>
  <c r="Q24" i="1"/>
  <c r="E21" i="1"/>
  <c r="F21" i="1" s="1"/>
  <c r="G21" i="1" s="1"/>
  <c r="K21" i="1" s="1"/>
  <c r="Q21" i="1"/>
  <c r="E11" i="2"/>
  <c r="E29" i="1"/>
  <c r="F29" i="1" s="1"/>
  <c r="U29" i="1" s="1"/>
  <c r="E26" i="1"/>
  <c r="F26" i="1" s="1"/>
  <c r="G26" i="1" s="1"/>
  <c r="J26" i="1" s="1"/>
  <c r="E23" i="1"/>
  <c r="F23" i="1" s="1"/>
  <c r="G23" i="1" s="1"/>
  <c r="J23" i="1" s="1"/>
  <c r="E28" i="1"/>
  <c r="F28" i="1" s="1"/>
  <c r="U28" i="1" s="1"/>
  <c r="E22" i="1"/>
  <c r="F22" i="1"/>
  <c r="U22" i="1" s="1"/>
  <c r="E27" i="1"/>
  <c r="F27" i="1" s="1"/>
  <c r="G27" i="1" s="1"/>
  <c r="J27" i="1" s="1"/>
  <c r="E24" i="1"/>
  <c r="F24" i="1" s="1"/>
  <c r="G24" i="1" s="1"/>
  <c r="J24" i="1" s="1"/>
  <c r="E14" i="2"/>
  <c r="E15" i="2"/>
  <c r="E13" i="2"/>
  <c r="C11" i="1"/>
  <c r="C12" i="1"/>
  <c r="O25" i="1" l="1"/>
  <c r="O30" i="1"/>
  <c r="E16" i="2"/>
  <c r="E12" i="2"/>
  <c r="F15" i="1"/>
  <c r="C16" i="1"/>
  <c r="D18" i="1" s="1"/>
  <c r="O26" i="1"/>
  <c r="O23" i="1"/>
  <c r="O24" i="1"/>
  <c r="O28" i="1"/>
  <c r="O29" i="1"/>
  <c r="O22" i="1"/>
  <c r="C15" i="1"/>
  <c r="O21" i="1"/>
  <c r="O27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<sst xmlns="http://schemas.openxmlformats.org/spreadsheetml/2006/main" count="134" uniqueCount="91">
  <si>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</si>
  <si>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</si>
  <si>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</si>
  <si>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</si>
  <si>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</si>
  <si>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</si>
  <si>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</si>
  <si>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</si>
  <si>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</si>
  <si>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</si>
  <si>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</si>
  <si>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</si>
  <si>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</si>
  <si>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</si>
  <si>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</si>
  <si>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</si>
  <si>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</si>
  <si>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</si>
  <si>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</si>
  <si>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</si>
  <si>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</si>
  <si>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</si>
  <si>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</si>
  <si>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</si>
  <si>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</si>
  <si>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</si>
  <si>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</si>
  <si>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</si>
  <si>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</si>
  <si>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</si>
  <si>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</si>
  <si>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</si>
  <si>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</si>
  <si>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</si>
  <si>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</si>
  <si>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GV Dra / GSC 3523-0448               </t>
  </si>
  <si>
    <t xml:space="preserve">EA        </t>
  </si>
  <si>
    <t>IBVS 5657</t>
  </si>
  <si>
    <t>IBVS 5802</t>
  </si>
  <si>
    <t>Add cycle</t>
  </si>
  <si>
    <t>Old Cycle</t>
  </si>
  <si>
    <t>IBVS 5959</t>
  </si>
  <si>
    <t>IBVS 6010</t>
  </si>
  <si>
    <t>II</t>
  </si>
  <si>
    <t>IBVS 5898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</si>
  <si>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</si>
  <si>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</si>
  <si>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</si>
  <si>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</si>
  <si>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</si>
  <si>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</si>
  <si>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</si>
  <si>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</si>
  <si>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</si>
  <si>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</si>
  <si>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</si>
  <si>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</si>
  <si>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2453384.359 </t>
  </si>
  <si>
    <t> 13.01.2005 20:36 </t>
  </si>
  <si>
    <t> 0.002 </t>
  </si>
  <si>
    <t>E </t>
  </si>
  <si>
    <t>o</t>
  </si>
  <si>
    <t> U.Schmidt </t>
  </si>
  <si>
    <t>BAVM 173 </t>
  </si>
  <si>
    <t>2454171.5447 </t>
  </si>
  <si>
    <t> 12.03.2007 01:04 </t>
  </si>
  <si>
    <t> -0.0052 </t>
  </si>
  <si>
    <t>C </t>
  </si>
  <si>
    <t>BAVM 186 </t>
  </si>
  <si>
    <t>2455340.4121 </t>
  </si>
  <si>
    <t> 23.05.2010 21:53 </t>
  </si>
  <si>
    <t> 0.0007 </t>
  </si>
  <si>
    <t>BAVM 214 </t>
  </si>
  <si>
    <t>2455626.6647 </t>
  </si>
  <si>
    <t> 06.03.2011 03:57 </t>
  </si>
  <si>
    <t> 0.0015 </t>
  </si>
  <si>
    <t>BAVM 220 </t>
  </si>
  <si>
    <t>2455662.5802 </t>
  </si>
  <si>
    <t> 11.04.2011 01:55 </t>
  </si>
  <si>
    <t> 12.0627 </t>
  </si>
  <si>
    <t>2456008.3421 </t>
  </si>
  <si>
    <t> 21.03.2012 20:12 </t>
  </si>
  <si>
    <t> 0.0098 </t>
  </si>
  <si>
    <t>BAVM 228 </t>
  </si>
  <si>
    <t>BAD?</t>
  </si>
  <si>
    <t>PE/CCD</t>
  </si>
  <si>
    <t>Next ToM-P</t>
  </si>
  <si>
    <t>Next ToM-S</t>
  </si>
  <si>
    <t>VSX</t>
  </si>
  <si>
    <t>8.59-8.70</t>
  </si>
  <si>
    <t xml:space="preserve">Mag 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</si>
</sst>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14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0" fillId="3" borderId="12" xfId="0" applyFont="1" applyFill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0" fillId="3" borderId="13" xfId="0" applyFont="1" applyFill="1" applyBorder="1" applyAlignment="1">
      <alignment horizontal="center" vertical="center"/>
    </xf>
    <xf numFmtId="22" fontId="23" fillId="0" borderId="15" xfId="0" applyNumberFormat="1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0" fontId="20" fillId="0" borderId="0" xfId="0" applyFont="1" applyAlignment="1"/>
    <xf numFmtId="0" fontId="22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2-4C4D-9583-BA57E82351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D2-4C4D-9583-BA57E82351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2.795999993395526E-3</c:v>
                </c:pt>
                <c:pt idx="3">
                  <c:v>-1.4900000023772009E-3</c:v>
                </c:pt>
                <c:pt idx="4">
                  <c:v>0</c:v>
                </c:pt>
                <c:pt idx="5">
                  <c:v>8.051999997405801E-3</c:v>
                </c:pt>
                <c:pt idx="6">
                  <c:v>9.748000004037749E-3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D2-4C4D-9583-BA57E82351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-1.3499999986379407E-3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D2-4C4D-9583-BA57E82351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D2-4C4D-9583-BA57E82351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D2-4C4D-9583-BA57E82351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D2-4C4D-9583-BA57E82351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-2.7485004913597243E-3</c:v>
                </c:pt>
                <c:pt idx="1">
                  <c:v>-5.0279538041006619E-4</c:v>
                </c:pt>
                <c:pt idx="2">
                  <c:v>2.1903840525232341E-4</c:v>
                </c:pt>
                <c:pt idx="3">
                  <c:v>2.86576228601442E-3</c:v>
                </c:pt>
                <c:pt idx="4">
                  <c:v>2.86576228601442E-3</c:v>
                </c:pt>
                <c:pt idx="5">
                  <c:v>6.7957462301763208E-3</c:v>
                </c:pt>
                <c:pt idx="6">
                  <c:v>7.7581912777261747E-3</c:v>
                </c:pt>
                <c:pt idx="7">
                  <c:v>7.8784969086699054E-3</c:v>
                </c:pt>
                <c:pt idx="8">
                  <c:v>7.8784969086699054E-3</c:v>
                </c:pt>
                <c:pt idx="9">
                  <c:v>9.0414513411259789E-3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D2-4C4D-9583-BA57E82351F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-0.97192599999834783</c:v>
                </c:pt>
                <c:pt idx="7">
                  <c:v>0.14388499999768101</c:v>
                </c:pt>
                <c:pt idx="8">
                  <c:v>0.14418499999737833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D2-4C4D-9583-BA57E8235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727800"/>
        <c:axId val="1"/>
      </c:scatterChart>
      <c:valAx>
        <c:axId val="651727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727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0325814536340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Dra - O-C Diagr.</a:t>
            </a:r>
          </a:p>
        </c:rich>
      </c:tx>
      <c:layout>
        <c:manualLayout>
          <c:xMode val="edge"/>
          <c:yMode val="edge"/>
          <c:x val="0.38738801793919903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78390663696895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2-4AFE-9CBC-1DD2687EC2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82-4AFE-9CBC-1DD2687EC2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2.795999993395526E-3</c:v>
                </c:pt>
                <c:pt idx="3">
                  <c:v>-1.4900000023772009E-3</c:v>
                </c:pt>
                <c:pt idx="4">
                  <c:v>0</c:v>
                </c:pt>
                <c:pt idx="5">
                  <c:v>8.051999997405801E-3</c:v>
                </c:pt>
                <c:pt idx="6">
                  <c:v>9.748000004037749E-3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82-4AFE-9CBC-1DD2687EC2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-1.3499999986379407E-3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82-4AFE-9CBC-1DD2687EC2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82-4AFE-9CBC-1DD2687EC2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82-4AFE-9CBC-1DD2687EC2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  <c:pt idx="2">
                    <c:v>1E-3</c:v>
                  </c:pt>
                  <c:pt idx="3">
                    <c:v>2.8E-3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82-4AFE-9CBC-1DD2687EC2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-2.7485004913597243E-3</c:v>
                </c:pt>
                <c:pt idx="1">
                  <c:v>-5.0279538041006619E-4</c:v>
                </c:pt>
                <c:pt idx="2">
                  <c:v>2.1903840525232341E-4</c:v>
                </c:pt>
                <c:pt idx="3">
                  <c:v>2.86576228601442E-3</c:v>
                </c:pt>
                <c:pt idx="4">
                  <c:v>2.86576228601442E-3</c:v>
                </c:pt>
                <c:pt idx="5">
                  <c:v>6.7957462301763208E-3</c:v>
                </c:pt>
                <c:pt idx="6">
                  <c:v>7.7581912777261747E-3</c:v>
                </c:pt>
                <c:pt idx="7">
                  <c:v>7.8784969086699054E-3</c:v>
                </c:pt>
                <c:pt idx="8">
                  <c:v>7.8784969086699054E-3</c:v>
                </c:pt>
                <c:pt idx="9">
                  <c:v>9.0414513411259789E-3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82-4AFE-9CBC-1DD2687EC2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-70</c:v>
                </c:pt>
                <c:pt idx="1">
                  <c:v>-42</c:v>
                </c:pt>
                <c:pt idx="2">
                  <c:v>-33</c:v>
                </c:pt>
                <c:pt idx="3">
                  <c:v>0</c:v>
                </c:pt>
                <c:pt idx="4">
                  <c:v>0</c:v>
                </c:pt>
                <c:pt idx="5">
                  <c:v>49</c:v>
                </c:pt>
                <c:pt idx="6">
                  <c:v>61</c:v>
                </c:pt>
                <c:pt idx="7">
                  <c:v>62.5</c:v>
                </c:pt>
                <c:pt idx="8">
                  <c:v>62.5</c:v>
                </c:pt>
                <c:pt idx="9">
                  <c:v>77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-0.97192599999834783</c:v>
                </c:pt>
                <c:pt idx="7">
                  <c:v>0.14388499999768101</c:v>
                </c:pt>
                <c:pt idx="8">
                  <c:v>0.14418499999737833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82-4AFE-9CBC-1DD2687EC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830816"/>
        <c:axId val="1"/>
      </c:scatterChart>
      <c:valAx>
        <c:axId val="78283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3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70602098161153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276225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F191303-6BAF-368D-9AC2-35F9581AD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1</xdr:rowOff>
    </xdr:from>
    <xdr:to>
      <xdr:col>27</xdr:col>
      <xdr:colOff>133350</xdr:colOff>
      <xdr:row>19</xdr:row>
      <xdr:rowOff>1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BF5867E0-2A31-927B-543E-EA5C637A9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10.5703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35</v>
      </c>
      <c r="F1" s="3">
        <v>52501.747900000002</v>
      </c>
      <c r="G1" s="3">
        <v>23.854267</v>
      </c>
      <c r="H1" s="3" t="s">
        <v>36</v>
      </c>
    </row>
    <row r="2" spans="1:8" x14ac:dyDescent="0.2">
      <c r="A2" t="s">
        <v>22</v>
      </c>
      <c r="B2" t="s">
        <v>36</v>
      </c>
      <c r="C2" s="3"/>
      <c r="D2" s="3"/>
    </row>
    <row r="3" spans="1:8" ht="13.5" thickBot="1" x14ac:dyDescent="0.25"/>
    <row r="4" spans="1:8" ht="14.25" thickTop="1" thickBot="1" x14ac:dyDescent="0.25">
      <c r="A4" s="5" t="s">
        <v>34</v>
      </c>
      <c r="C4" s="8">
        <v>52501.747900000002</v>
      </c>
      <c r="D4" s="9">
        <v>23.854267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 s="61">
        <v>54171.546190000001</v>
      </c>
      <c r="D7" s="61" t="s">
        <v>88</v>
      </c>
    </row>
    <row r="8" spans="1:8" x14ac:dyDescent="0.2">
      <c r="A8" t="s">
        <v>2</v>
      </c>
      <c r="C8" s="61">
        <v>23.854241999999999</v>
      </c>
      <c r="D8" s="62" t="s">
        <v>88</v>
      </c>
    </row>
    <row r="9" spans="1:8" x14ac:dyDescent="0.2">
      <c r="A9" s="25" t="s">
        <v>31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2">
        <f ca="1">INTERCEPT(INDIRECT($D$9):G992,INDIRECT($C$9):F992)</f>
        <v>2.86576228601442E-3</v>
      </c>
      <c r="D11" s="3"/>
      <c r="E11" s="12"/>
    </row>
    <row r="12" spans="1:8" x14ac:dyDescent="0.2">
      <c r="A12" s="12" t="s">
        <v>15</v>
      </c>
      <c r="B12" s="12"/>
      <c r="C12" s="22">
        <f ca="1">SLOPE(INDIRECT($D$9):G992,INDIRECT($C$9):F992)</f>
        <v>8.0203753962487771E-5</v>
      </c>
      <c r="D12" s="3"/>
      <c r="E12" s="55" t="s">
        <v>90</v>
      </c>
      <c r="F12" s="58" t="s">
        <v>89</v>
      </c>
    </row>
    <row r="13" spans="1:8" x14ac:dyDescent="0.2">
      <c r="A13" s="12" t="s">
        <v>17</v>
      </c>
      <c r="B13" s="12"/>
      <c r="C13" s="3" t="s">
        <v>12</v>
      </c>
      <c r="E13" s="53" t="s">
        <v>39</v>
      </c>
      <c r="F13" s="57">
        <v>1</v>
      </c>
    </row>
    <row r="14" spans="1:8" x14ac:dyDescent="0.2">
      <c r="A14" s="12"/>
      <c r="B14" s="12"/>
      <c r="C14" s="12"/>
      <c r="E14" s="53" t="s">
        <v>29</v>
      </c>
      <c r="F14" s="56">
        <f ca="1">NOW()+15018.5+$C$5/24</f>
        <v>60527.811029976852</v>
      </c>
    </row>
    <row r="15" spans="1:8" x14ac:dyDescent="0.2">
      <c r="A15" s="14" t="s">
        <v>16</v>
      </c>
      <c r="B15" s="12"/>
      <c r="C15" s="15">
        <f ca="1">(C7+C11)+(C8+C12)*INT(MAX(F21:F3533))</f>
        <v>56008.331865451335</v>
      </c>
      <c r="E15" s="53" t="s">
        <v>40</v>
      </c>
      <c r="F15" s="56">
        <f ca="1">ROUND(2*($F$14-$C$7)/$C$8,0)/2+$F$13</f>
        <v>267.5</v>
      </c>
    </row>
    <row r="16" spans="1:8" x14ac:dyDescent="0.2">
      <c r="A16" s="17" t="s">
        <v>3</v>
      </c>
      <c r="B16" s="12"/>
      <c r="C16" s="18">
        <f ca="1">+C8+C12</f>
        <v>23.854322203753963</v>
      </c>
      <c r="E16" s="53" t="s">
        <v>30</v>
      </c>
      <c r="F16" s="56">
        <f ca="1">ROUND(2*($F$14-$C$15)/$C$16,0)/2+$F$13</f>
        <v>190.5</v>
      </c>
    </row>
    <row r="17" spans="1:21" ht="13.5" thickBot="1" x14ac:dyDescent="0.25">
      <c r="A17" s="16" t="s">
        <v>26</v>
      </c>
      <c r="B17" s="12"/>
      <c r="C17" s="12">
        <f>COUNT(C21:C2191)</f>
        <v>10</v>
      </c>
      <c r="E17" s="53" t="s">
        <v>86</v>
      </c>
      <c r="F17" s="59">
        <f ca="1">+$C$15+$C$16*$F$16-15018.5-$C$5/24</f>
        <v>45534.476078599801</v>
      </c>
    </row>
    <row r="18" spans="1:21" ht="14.25" thickTop="1" thickBot="1" x14ac:dyDescent="0.25">
      <c r="A18" s="17" t="s">
        <v>4</v>
      </c>
      <c r="B18" s="12"/>
      <c r="C18" s="20">
        <f ca="1">+C15</f>
        <v>56008.331865451335</v>
      </c>
      <c r="D18" s="21">
        <f ca="1">+C16</f>
        <v>23.854322203753963</v>
      </c>
      <c r="E18" s="54" t="s">
        <v>87</v>
      </c>
      <c r="F18" s="60">
        <f ca="1">+($C$15+$C$16*$F$16)-($C$16/2)-15018.5-$C$5/24</f>
        <v>45522.548917497923</v>
      </c>
    </row>
    <row r="19" spans="1:21" ht="13.5" thickTop="1" x14ac:dyDescent="0.2">
      <c r="E19" s="16"/>
      <c r="F19" s="19"/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88</v>
      </c>
      <c r="I20" s="7" t="s">
        <v>56</v>
      </c>
      <c r="J20" s="7" t="s">
        <v>50</v>
      </c>
      <c r="K20" s="7" t="s">
        <v>48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52" t="s">
        <v>84</v>
      </c>
    </row>
    <row r="21" spans="1:21" x14ac:dyDescent="0.2">
      <c r="A21" s="28" t="s">
        <v>33</v>
      </c>
      <c r="B21" s="27" t="s">
        <v>32</v>
      </c>
      <c r="C21" s="28">
        <v>52501.747900000002</v>
      </c>
      <c r="D21" s="29"/>
      <c r="E21">
        <f>+(C21-C$7)/C$8</f>
        <v>-70.000056593707683</v>
      </c>
      <c r="F21">
        <f>ROUND(2*E21,0)/2</f>
        <v>-70</v>
      </c>
      <c r="G21">
        <f>+C21-(C$7+F21*C$8)</f>
        <v>-1.3499999986379407E-3</v>
      </c>
      <c r="K21">
        <f>G21</f>
        <v>-1.3499999986379407E-3</v>
      </c>
      <c r="O21">
        <f ca="1">+C$11+C$12*$F21</f>
        <v>-2.7485004913597243E-3</v>
      </c>
      <c r="Q21" s="2">
        <f>+C21-15018.5</f>
        <v>37483.247900000002</v>
      </c>
    </row>
    <row r="22" spans="1:21" x14ac:dyDescent="0.2">
      <c r="A22" s="30" t="s">
        <v>44</v>
      </c>
      <c r="B22" s="31" t="s">
        <v>32</v>
      </c>
      <c r="C22" s="30">
        <v>53168.696100000001</v>
      </c>
      <c r="D22" s="30">
        <v>5.0000000000000001E-4</v>
      </c>
      <c r="E22">
        <f>+(C22-C$7)/C$8</f>
        <v>-42.040744367395952</v>
      </c>
      <c r="F22">
        <f>ROUND(2*E22,0)/2</f>
        <v>-42</v>
      </c>
      <c r="O22">
        <f ca="1">+C$11+C$12*$F22</f>
        <v>-5.0279538041006619E-4</v>
      </c>
      <c r="Q22" s="2">
        <f>+C22-15018.5</f>
        <v>38150.196100000001</v>
      </c>
      <c r="R22" t="s">
        <v>85</v>
      </c>
      <c r="U22">
        <f>+C22-(C$7+F22*C$8)</f>
        <v>-0.97192599999834783</v>
      </c>
    </row>
    <row r="23" spans="1:21" x14ac:dyDescent="0.2">
      <c r="A23" s="30" t="s">
        <v>37</v>
      </c>
      <c r="B23" s="32"/>
      <c r="C23" s="28">
        <v>53384.358999999997</v>
      </c>
      <c r="D23" s="28">
        <v>1E-3</v>
      </c>
      <c r="E23">
        <f>+(C23-C$7)/C$8</f>
        <v>-32.999882788143267</v>
      </c>
      <c r="F23">
        <f>ROUND(2*E23,0)/2</f>
        <v>-33</v>
      </c>
      <c r="G23">
        <f>+C23-(C$7+F23*C$8)</f>
        <v>2.795999993395526E-3</v>
      </c>
      <c r="J23">
        <f>G23</f>
        <v>2.795999993395526E-3</v>
      </c>
      <c r="O23">
        <f ca="1">+C$11+C$12*$F23</f>
        <v>2.1903840525232341E-4</v>
      </c>
      <c r="Q23" s="2">
        <f>+C23-15018.5</f>
        <v>38365.858999999997</v>
      </c>
      <c r="R23" t="s">
        <v>50</v>
      </c>
    </row>
    <row r="24" spans="1:21" x14ac:dyDescent="0.2">
      <c r="A24" s="28" t="s">
        <v>38</v>
      </c>
      <c r="B24" s="32"/>
      <c r="C24" s="28">
        <v>54171.544699999999</v>
      </c>
      <c r="D24" s="28">
        <v>2.8E-3</v>
      </c>
      <c r="E24">
        <f>+(C24-C$7)/C$8</f>
        <v>-6.2462684933656707E-5</v>
      </c>
      <c r="F24">
        <f>ROUND(2*E24,0)/2</f>
        <v>0</v>
      </c>
      <c r="G24">
        <f>+C24-(C$7+F24*C$8)</f>
        <v>-1.4900000023772009E-3</v>
      </c>
      <c r="J24">
        <f>G24</f>
        <v>-1.4900000023772009E-3</v>
      </c>
      <c r="O24">
        <f ca="1">+C$11+C$12*$F24</f>
        <v>2.86576228601442E-3</v>
      </c>
      <c r="Q24" s="2">
        <f>+C24-15018.5</f>
        <v>39153.044699999999</v>
      </c>
      <c r="R24" t="s">
        <v>50</v>
      </c>
    </row>
    <row r="25" spans="1:21" x14ac:dyDescent="0.2">
      <c r="A25" s="30" t="s">
        <v>88</v>
      </c>
      <c r="C25" s="10">
        <v>54171.546190000001</v>
      </c>
      <c r="D25" s="10"/>
      <c r="E25">
        <f>+(C25-C$7)/C$8</f>
        <v>0</v>
      </c>
      <c r="F25">
        <f>ROUND(2*E25,0)/2</f>
        <v>0</v>
      </c>
      <c r="G25">
        <f>+C25-(C$7+F25*C$8)</f>
        <v>0</v>
      </c>
      <c r="J25">
        <f>G25</f>
        <v>0</v>
      </c>
      <c r="O25">
        <f ca="1">+C$11+C$12*$F25</f>
        <v>2.86576228601442E-3</v>
      </c>
      <c r="Q25" s="2">
        <f>+C25-15018.5</f>
        <v>39153.046190000001</v>
      </c>
    </row>
    <row r="26" spans="1:21" x14ac:dyDescent="0.2">
      <c r="A26" s="30" t="s">
        <v>41</v>
      </c>
      <c r="B26" s="31" t="s">
        <v>32</v>
      </c>
      <c r="C26" s="30">
        <v>55340.412100000001</v>
      </c>
      <c r="D26" s="30">
        <v>2.3999999999999998E-3</v>
      </c>
      <c r="E26">
        <f>+(C26-C$7)/C$8</f>
        <v>49.000337550025712</v>
      </c>
      <c r="F26">
        <f>ROUND(2*E26,0)/2</f>
        <v>49</v>
      </c>
      <c r="G26">
        <f>+C26-(C$7+F26*C$8)</f>
        <v>8.051999997405801E-3</v>
      </c>
      <c r="J26">
        <f>G26</f>
        <v>8.051999997405801E-3</v>
      </c>
      <c r="O26">
        <f ca="1">+C$11+C$12*$F26</f>
        <v>6.7957462301763208E-3</v>
      </c>
      <c r="Q26" s="2">
        <f>+C26-15018.5</f>
        <v>40321.912100000001</v>
      </c>
      <c r="R26" t="s">
        <v>50</v>
      </c>
    </row>
    <row r="27" spans="1:21" x14ac:dyDescent="0.2">
      <c r="A27" s="30" t="s">
        <v>42</v>
      </c>
      <c r="B27" s="31" t="s">
        <v>32</v>
      </c>
      <c r="C27" s="30">
        <v>55626.664700000001</v>
      </c>
      <c r="D27" s="30">
        <v>1.1000000000000001E-3</v>
      </c>
      <c r="E27">
        <f>+(C27-C$7)/C$8</f>
        <v>61.000408648491124</v>
      </c>
      <c r="F27">
        <f>ROUND(2*E27,0)/2</f>
        <v>61</v>
      </c>
      <c r="G27">
        <f>+C27-(C$7+F27*C$8)</f>
        <v>9.748000004037749E-3</v>
      </c>
      <c r="J27">
        <f>G27</f>
        <v>9.748000004037749E-3</v>
      </c>
      <c r="O27">
        <f ca="1">+C$11+C$12*$F27</f>
        <v>7.7581912777261747E-3</v>
      </c>
      <c r="Q27" s="2">
        <f>+C27-15018.5</f>
        <v>40608.164700000001</v>
      </c>
      <c r="R27" t="s">
        <v>50</v>
      </c>
    </row>
    <row r="28" spans="1:21" x14ac:dyDescent="0.2">
      <c r="A28" s="49" t="s">
        <v>76</v>
      </c>
      <c r="B28" s="51" t="s">
        <v>32</v>
      </c>
      <c r="C28" s="50">
        <v>55662.580199999997</v>
      </c>
      <c r="D28" s="50" t="s">
        <v>56</v>
      </c>
      <c r="E28">
        <f>+(C28-C$7)/C$8</f>
        <v>62.506031841212803</v>
      </c>
      <c r="F28">
        <f>ROUND(2*E28,0)/2</f>
        <v>62.5</v>
      </c>
      <c r="O28">
        <f ca="1">+C$11+C$12*$F28</f>
        <v>7.8784969086699054E-3</v>
      </c>
      <c r="Q28" s="2">
        <f>+C28-15018.5</f>
        <v>40644.080199999997</v>
      </c>
      <c r="U28">
        <f>+C28-(C$7+F28*C$8)</f>
        <v>0.14388499999768101</v>
      </c>
    </row>
    <row r="29" spans="1:21" x14ac:dyDescent="0.2">
      <c r="A29" s="30" t="s">
        <v>42</v>
      </c>
      <c r="B29" s="31" t="s">
        <v>43</v>
      </c>
      <c r="C29" s="30">
        <v>55662.580499999996</v>
      </c>
      <c r="D29" s="30">
        <v>3.5000000000000001E-3</v>
      </c>
      <c r="E29">
        <f>+(C29-C$7)/C$8</f>
        <v>62.506044417592285</v>
      </c>
      <c r="F29">
        <f>ROUND(2*E29,0)/2</f>
        <v>62.5</v>
      </c>
      <c r="O29">
        <f ca="1">+C$11+C$12*$F29</f>
        <v>7.8784969086699054E-3</v>
      </c>
      <c r="Q29" s="2">
        <f>+C29-15018.5</f>
        <v>40644.080499999996</v>
      </c>
      <c r="R29" t="s">
        <v>50</v>
      </c>
      <c r="U29">
        <f>+C29-(C$7+F29*C$8)</f>
        <v>0.14418499999737833</v>
      </c>
    </row>
    <row r="30" spans="1:21" x14ac:dyDescent="0.2">
      <c r="A30" s="33" t="s">
        <v>45</v>
      </c>
      <c r="B30" s="34" t="s">
        <v>32</v>
      </c>
      <c r="C30" s="35">
        <v>56008.342100000002</v>
      </c>
      <c r="D30" s="35">
        <v>2.3999999999999998E-3</v>
      </c>
      <c r="E30">
        <f>+(C30-C$7)/C$8</f>
        <v>77.000808074303961</v>
      </c>
      <c r="F30">
        <f>ROUND(2*E30,0)/2</f>
        <v>77</v>
      </c>
      <c r="O30">
        <f ca="1">+C$11+C$12*$F30</f>
        <v>9.0414513411259789E-3</v>
      </c>
      <c r="Q30" s="2">
        <f>+C30-15018.5</f>
        <v>40989.842100000002</v>
      </c>
      <c r="R30" t="s">
        <v>50</v>
      </c>
    </row>
    <row r="31" spans="1:21" x14ac:dyDescent="0.2">
      <c r="C31" s="10"/>
      <c r="D31" s="10"/>
    </row>
    <row r="32" spans="1:2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AA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0"/>
  <sheetViews>
    <sheetView workbookViewId="0">
      <selection activeCell="A16" sqref="A16:D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46</v>
      </c>
      <c r="I1" s="37" t="s">
        <v>47</v>
      </c>
      <c r="J1" s="38" t="s">
        <v>48</v>
      </c>
    </row>
    <row r="2" spans="1:16" x14ac:dyDescent="0.2">
      <c r="I2" s="39" t="s">
        <v>49</v>
      </c>
      <c r="J2" s="40" t="s">
        <v>50</v>
      </c>
    </row>
    <row r="3" spans="1:16" x14ac:dyDescent="0.2">
      <c r="A3" s="41" t="s">
        <v>51</v>
      </c>
      <c r="I3" s="39" t="s">
        <v>52</v>
      </c>
      <c r="J3" s="40" t="s">
        <v>53</v>
      </c>
    </row>
    <row r="4" spans="1:16" x14ac:dyDescent="0.2">
      <c r="I4" s="39" t="s">
        <v>54</v>
      </c>
      <c r="J4" s="40" t="s">
        <v>53</v>
      </c>
    </row>
    <row r="5" spans="1:16" ht="13.5" thickBot="1" x14ac:dyDescent="0.25">
      <c r="I5" s="42" t="s">
        <v>55</v>
      </c>
      <c r="J5" s="43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6" si="0">P11</f>
        <v>BAVM 173 </v>
      </c>
      <c r="B11" s="3" t="str">
        <f t="shared" ref="B11:B16" si="1">IF(H11=INT(H11),"I","II")</f>
        <v>I</v>
      </c>
      <c r="C11" s="10">
        <f t="shared" ref="C11:C16" si="2">1*G11</f>
        <v>53384.358999999997</v>
      </c>
      <c r="D11" s="12" t="str">
        <f t="shared" ref="D11:D16" si="3">VLOOKUP(F11,I$1:J$5,2,FALSE)</f>
        <v>vis</v>
      </c>
      <c r="E11" s="44">
        <f>VLOOKUP(C11,Active!C$21:E$973,3,FALSE)</f>
        <v>-32.999882788143267</v>
      </c>
      <c r="F11" s="3" t="s">
        <v>55</v>
      </c>
      <c r="G11" s="12" t="str">
        <f t="shared" ref="G11:G16" si="4">MID(I11,3,LEN(I11)-3)</f>
        <v>53384.359</v>
      </c>
      <c r="H11" s="10">
        <f t="shared" ref="H11:H16" si="5">1*K11</f>
        <v>37</v>
      </c>
      <c r="I11" s="45" t="s">
        <v>57</v>
      </c>
      <c r="J11" s="46" t="s">
        <v>58</v>
      </c>
      <c r="K11" s="45">
        <v>37</v>
      </c>
      <c r="L11" s="45" t="s">
        <v>59</v>
      </c>
      <c r="M11" s="46" t="s">
        <v>60</v>
      </c>
      <c r="N11" s="46" t="s">
        <v>61</v>
      </c>
      <c r="O11" s="47" t="s">
        <v>62</v>
      </c>
      <c r="P11" s="48" t="s">
        <v>63</v>
      </c>
    </row>
    <row r="12" spans="1:16" ht="12.75" customHeight="1" thickBot="1" x14ac:dyDescent="0.25">
      <c r="A12" s="10" t="str">
        <f t="shared" si="0"/>
        <v>BAVM 186 </v>
      </c>
      <c r="B12" s="3" t="str">
        <f t="shared" si="1"/>
        <v>I</v>
      </c>
      <c r="C12" s="10">
        <f t="shared" si="2"/>
        <v>54171.544699999999</v>
      </c>
      <c r="D12" s="12" t="str">
        <f t="shared" si="3"/>
        <v>vis</v>
      </c>
      <c r="E12" s="44">
        <f>VLOOKUP(C12,Active!C$21:E$973,3,FALSE)</f>
        <v>-6.2462684933656707E-5</v>
      </c>
      <c r="F12" s="3" t="s">
        <v>55</v>
      </c>
      <c r="G12" s="12" t="str">
        <f t="shared" si="4"/>
        <v>54171.5447</v>
      </c>
      <c r="H12" s="10">
        <f t="shared" si="5"/>
        <v>70</v>
      </c>
      <c r="I12" s="45" t="s">
        <v>64</v>
      </c>
      <c r="J12" s="46" t="s">
        <v>65</v>
      </c>
      <c r="K12" s="45">
        <v>70</v>
      </c>
      <c r="L12" s="45" t="s">
        <v>66</v>
      </c>
      <c r="M12" s="46" t="s">
        <v>67</v>
      </c>
      <c r="N12" s="46" t="s">
        <v>61</v>
      </c>
      <c r="O12" s="47" t="s">
        <v>62</v>
      </c>
      <c r="P12" s="48" t="s">
        <v>68</v>
      </c>
    </row>
    <row r="13" spans="1:16" ht="12.75" customHeight="1" thickBot="1" x14ac:dyDescent="0.25">
      <c r="A13" s="10" t="str">
        <f t="shared" si="0"/>
        <v>BAVM 214 </v>
      </c>
      <c r="B13" s="3" t="str">
        <f t="shared" si="1"/>
        <v>I</v>
      </c>
      <c r="C13" s="10">
        <f t="shared" si="2"/>
        <v>55340.412100000001</v>
      </c>
      <c r="D13" s="12" t="str">
        <f t="shared" si="3"/>
        <v>vis</v>
      </c>
      <c r="E13" s="44">
        <f>VLOOKUP(C13,Active!C$21:E$973,3,FALSE)</f>
        <v>49.000337550025712</v>
      </c>
      <c r="F13" s="3" t="s">
        <v>55</v>
      </c>
      <c r="G13" s="12" t="str">
        <f t="shared" si="4"/>
        <v>55340.4121</v>
      </c>
      <c r="H13" s="10">
        <f t="shared" si="5"/>
        <v>119</v>
      </c>
      <c r="I13" s="45" t="s">
        <v>69</v>
      </c>
      <c r="J13" s="46" t="s">
        <v>70</v>
      </c>
      <c r="K13" s="45">
        <v>119</v>
      </c>
      <c r="L13" s="45" t="s">
        <v>71</v>
      </c>
      <c r="M13" s="46" t="s">
        <v>67</v>
      </c>
      <c r="N13" s="46" t="s">
        <v>61</v>
      </c>
      <c r="O13" s="47" t="s">
        <v>62</v>
      </c>
      <c r="P13" s="48" t="s">
        <v>72</v>
      </c>
    </row>
    <row r="14" spans="1:16" ht="12.75" customHeight="1" thickBot="1" x14ac:dyDescent="0.25">
      <c r="A14" s="10" t="str">
        <f t="shared" si="0"/>
        <v>BAVM 220 </v>
      </c>
      <c r="B14" s="3" t="str">
        <f t="shared" si="1"/>
        <v>I</v>
      </c>
      <c r="C14" s="10">
        <f t="shared" si="2"/>
        <v>55626.664700000001</v>
      </c>
      <c r="D14" s="12" t="str">
        <f t="shared" si="3"/>
        <v>vis</v>
      </c>
      <c r="E14" s="44">
        <f>VLOOKUP(C14,Active!C$21:E$973,3,FALSE)</f>
        <v>61.000408648491124</v>
      </c>
      <c r="F14" s="3" t="s">
        <v>55</v>
      </c>
      <c r="G14" s="12" t="str">
        <f t="shared" si="4"/>
        <v>55626.6647</v>
      </c>
      <c r="H14" s="10">
        <f t="shared" si="5"/>
        <v>131</v>
      </c>
      <c r="I14" s="45" t="s">
        <v>73</v>
      </c>
      <c r="J14" s="46" t="s">
        <v>74</v>
      </c>
      <c r="K14" s="45">
        <v>131</v>
      </c>
      <c r="L14" s="45" t="s">
        <v>75</v>
      </c>
      <c r="M14" s="46" t="s">
        <v>67</v>
      </c>
      <c r="N14" s="46" t="s">
        <v>61</v>
      </c>
      <c r="O14" s="47" t="s">
        <v>62</v>
      </c>
      <c r="P14" s="48" t="s">
        <v>76</v>
      </c>
    </row>
    <row r="15" spans="1:16" ht="12.75" customHeight="1" thickBot="1" x14ac:dyDescent="0.25">
      <c r="A15" s="10" t="str">
        <f t="shared" si="0"/>
        <v>BAVM 228 </v>
      </c>
      <c r="B15" s="3" t="str">
        <f t="shared" si="1"/>
        <v>I</v>
      </c>
      <c r="C15" s="10">
        <f t="shared" si="2"/>
        <v>56008.342100000002</v>
      </c>
      <c r="D15" s="12" t="str">
        <f t="shared" si="3"/>
        <v>vis</v>
      </c>
      <c r="E15" s="44">
        <f>VLOOKUP(C15,Active!C$21:E$973,3,FALSE)</f>
        <v>77.000808074303961</v>
      </c>
      <c r="F15" s="3" t="s">
        <v>55</v>
      </c>
      <c r="G15" s="12" t="str">
        <f t="shared" si="4"/>
        <v>56008.3421</v>
      </c>
      <c r="H15" s="10">
        <f t="shared" si="5"/>
        <v>147</v>
      </c>
      <c r="I15" s="45" t="s">
        <v>80</v>
      </c>
      <c r="J15" s="46" t="s">
        <v>81</v>
      </c>
      <c r="K15" s="45">
        <v>147</v>
      </c>
      <c r="L15" s="45" t="s">
        <v>82</v>
      </c>
      <c r="M15" s="46" t="s">
        <v>67</v>
      </c>
      <c r="N15" s="46" t="s">
        <v>61</v>
      </c>
      <c r="O15" s="47" t="s">
        <v>62</v>
      </c>
      <c r="P15" s="48" t="s">
        <v>83</v>
      </c>
    </row>
    <row r="16" spans="1:16" ht="12.75" customHeight="1" thickBot="1" x14ac:dyDescent="0.25">
      <c r="A16" s="10" t="str">
        <f t="shared" si="0"/>
        <v>BAVM 220 </v>
      </c>
      <c r="B16" s="3" t="str">
        <f t="shared" si="1"/>
        <v>I</v>
      </c>
      <c r="C16" s="10">
        <f t="shared" si="2"/>
        <v>55662.580199999997</v>
      </c>
      <c r="D16" s="12" t="str">
        <f t="shared" si="3"/>
        <v>vis</v>
      </c>
      <c r="E16" s="44">
        <f>VLOOKUP(C16,Active!C$21:E$973,3,FALSE)</f>
        <v>62.506031841212803</v>
      </c>
      <c r="F16" s="3" t="s">
        <v>55</v>
      </c>
      <c r="G16" s="12" t="str">
        <f t="shared" si="4"/>
        <v>55662.5802</v>
      </c>
      <c r="H16" s="10">
        <f t="shared" si="5"/>
        <v>132</v>
      </c>
      <c r="I16" s="45" t="s">
        <v>77</v>
      </c>
      <c r="J16" s="46" t="s">
        <v>78</v>
      </c>
      <c r="K16" s="45">
        <v>132</v>
      </c>
      <c r="L16" s="45" t="s">
        <v>79</v>
      </c>
      <c r="M16" s="46" t="s">
        <v>67</v>
      </c>
      <c r="N16" s="46" t="s">
        <v>61</v>
      </c>
      <c r="O16" s="47" t="s">
        <v>62</v>
      </c>
      <c r="P16" s="48" t="s">
        <v>76</v>
      </c>
    </row>
    <row r="17" spans="2:6" x14ac:dyDescent="0.2">
      <c r="B17" s="3"/>
      <c r="E17" s="44"/>
      <c r="F17" s="3"/>
    </row>
    <row r="18" spans="2:6" x14ac:dyDescent="0.2">
      <c r="B18" s="3"/>
      <c r="E18" s="44"/>
      <c r="F18" s="3"/>
    </row>
    <row r="19" spans="2:6" x14ac:dyDescent="0.2">
      <c r="B19" s="3"/>
      <c r="E19" s="44"/>
      <c r="F19" s="3"/>
    </row>
    <row r="20" spans="2:6" x14ac:dyDescent="0.2">
      <c r="B20" s="3"/>
      <c r="E20" s="44"/>
      <c r="F20" s="3"/>
    </row>
    <row r="21" spans="2:6" x14ac:dyDescent="0.2">
      <c r="B21" s="3"/>
      <c r="E21" s="44"/>
      <c r="F21" s="3"/>
    </row>
    <row r="22" spans="2:6" x14ac:dyDescent="0.2">
      <c r="B22" s="3"/>
      <c r="E22" s="44"/>
      <c r="F22" s="3"/>
    </row>
    <row r="23" spans="2:6" x14ac:dyDescent="0.2">
      <c r="B23" s="3"/>
      <c r="E23" s="44"/>
      <c r="F23" s="3"/>
    </row>
    <row r="24" spans="2:6" x14ac:dyDescent="0.2">
      <c r="B24" s="3"/>
      <c r="E24" s="44"/>
      <c r="F24" s="3"/>
    </row>
    <row r="25" spans="2:6" x14ac:dyDescent="0.2">
      <c r="B25" s="3"/>
      <c r="E25" s="44"/>
      <c r="F25" s="3"/>
    </row>
    <row r="26" spans="2:6" x14ac:dyDescent="0.2">
      <c r="B26" s="3"/>
      <c r="E26" s="44"/>
      <c r="F26" s="3"/>
    </row>
    <row r="27" spans="2:6" x14ac:dyDescent="0.2">
      <c r="B27" s="3"/>
      <c r="E27" s="44"/>
      <c r="F27" s="3"/>
    </row>
    <row r="28" spans="2:6" x14ac:dyDescent="0.2">
      <c r="B28" s="3"/>
      <c r="E28" s="44"/>
      <c r="F28" s="3"/>
    </row>
    <row r="29" spans="2:6" x14ac:dyDescent="0.2">
      <c r="B29" s="3"/>
      <c r="E29" s="44"/>
      <c r="F29" s="3"/>
    </row>
    <row r="30" spans="2:6" x14ac:dyDescent="0.2">
      <c r="B30" s="3"/>
      <c r="E30" s="44"/>
      <c r="F30" s="3"/>
    </row>
    <row r="31" spans="2:6" x14ac:dyDescent="0.2">
      <c r="B31" s="3"/>
      <c r="E31" s="44"/>
      <c r="F31" s="3"/>
    </row>
    <row r="32" spans="2:6" x14ac:dyDescent="0.2">
      <c r="B32" s="3"/>
      <c r="E32" s="44"/>
      <c r="F32" s="3"/>
    </row>
    <row r="33" spans="2:6" x14ac:dyDescent="0.2">
      <c r="B33" s="3"/>
      <c r="E33" s="44"/>
      <c r="F33" s="3"/>
    </row>
    <row r="34" spans="2:6" x14ac:dyDescent="0.2">
      <c r="B34" s="3"/>
      <c r="E34" s="44"/>
      <c r="F34" s="3"/>
    </row>
    <row r="35" spans="2:6" x14ac:dyDescent="0.2">
      <c r="B35" s="3"/>
      <c r="E35" s="44"/>
      <c r="F35" s="3"/>
    </row>
    <row r="36" spans="2:6" x14ac:dyDescent="0.2">
      <c r="B36" s="3"/>
      <c r="E36" s="44"/>
      <c r="F36" s="3"/>
    </row>
    <row r="37" spans="2:6" x14ac:dyDescent="0.2">
      <c r="B37" s="3"/>
      <c r="E37" s="44"/>
      <c r="F37" s="3"/>
    </row>
    <row r="38" spans="2:6" x14ac:dyDescent="0.2">
      <c r="B38" s="3"/>
      <c r="E38" s="44"/>
      <c r="F38" s="3"/>
    </row>
    <row r="39" spans="2:6" x14ac:dyDescent="0.2">
      <c r="B39" s="3"/>
      <c r="E39" s="44"/>
      <c r="F39" s="3"/>
    </row>
    <row r="40" spans="2:6" x14ac:dyDescent="0.2">
      <c r="B40" s="3"/>
      <c r="E40" s="44"/>
      <c r="F40" s="3"/>
    </row>
    <row r="41" spans="2:6" x14ac:dyDescent="0.2">
      <c r="B41" s="3"/>
      <c r="E41" s="44"/>
      <c r="F41" s="3"/>
    </row>
    <row r="42" spans="2:6" x14ac:dyDescent="0.2">
      <c r="B42" s="3"/>
      <c r="E42" s="44"/>
      <c r="F42" s="3"/>
    </row>
    <row r="43" spans="2:6" x14ac:dyDescent="0.2">
      <c r="B43" s="3"/>
      <c r="E43" s="44"/>
      <c r="F43" s="3"/>
    </row>
    <row r="44" spans="2:6" x14ac:dyDescent="0.2">
      <c r="B44" s="3"/>
      <c r="E44" s="44"/>
      <c r="F44" s="3"/>
    </row>
    <row r="45" spans="2:6" x14ac:dyDescent="0.2">
      <c r="B45" s="3"/>
      <c r="E45" s="44"/>
      <c r="F45" s="3"/>
    </row>
    <row r="46" spans="2:6" x14ac:dyDescent="0.2">
      <c r="B46" s="3"/>
      <c r="E46" s="44"/>
      <c r="F46" s="3"/>
    </row>
    <row r="47" spans="2:6" x14ac:dyDescent="0.2">
      <c r="B47" s="3"/>
      <c r="E47" s="44"/>
      <c r="F47" s="3"/>
    </row>
    <row r="48" spans="2:6" x14ac:dyDescent="0.2">
      <c r="B48" s="3"/>
      <c r="E48" s="44"/>
      <c r="F48" s="3"/>
    </row>
    <row r="49" spans="2:6" x14ac:dyDescent="0.2">
      <c r="B49" s="3"/>
      <c r="E49" s="44"/>
      <c r="F49" s="3"/>
    </row>
    <row r="50" spans="2:6" x14ac:dyDescent="0.2">
      <c r="B50" s="3"/>
      <c r="E50" s="44"/>
      <c r="F50" s="3"/>
    </row>
    <row r="51" spans="2:6" x14ac:dyDescent="0.2">
      <c r="B51" s="3"/>
      <c r="E51" s="44"/>
      <c r="F51" s="3"/>
    </row>
    <row r="52" spans="2:6" x14ac:dyDescent="0.2">
      <c r="B52" s="3"/>
      <c r="E52" s="44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P11" r:id="rId1" display="http://www.bav-astro.de/sfs/BAVM_link.php?BAVMnr=173" xr:uid="{00000000-0004-0000-0100-000000000000}"/>
    <hyperlink ref="P12" r:id="rId2" display="http://www.bav-astro.de/sfs/BAVM_link.php?BAVMnr=186" xr:uid="{00000000-0004-0000-0100-000001000000}"/>
    <hyperlink ref="P13" r:id="rId3" display="http://www.bav-astro.de/sfs/BAVM_link.php?BAVMnr=214" xr:uid="{00000000-0004-0000-0100-000002000000}"/>
    <hyperlink ref="P14" r:id="rId4" display="http://www.bav-astro.de/sfs/BAVM_link.php?BAVMnr=220" xr:uid="{00000000-0004-0000-0100-000003000000}"/>
    <hyperlink ref="P16" r:id="rId5" display="http://www.bav-astro.de/sfs/BAVM_link.php?BAVMnr=220" xr:uid="{00000000-0004-0000-0100-000004000000}"/>
    <hyperlink ref="P15" r:id="rId6" display="http://www.bav-astro.de/sfs/BAVM_link.php?BAVMnr=228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2024-08-05T07:27:53Z</dcterms:modified>
</cp:coreProperties>
</file>