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AA0D3F2-43CA-4455-A4E6-A6B677A7EC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A (2)" sheetId="2" r:id="rId3"/>
  </sheets>
  <calcPr calcId="181029"/>
</workbook>
</file>

<file path=xl/calcChain.xml><?xml version="1.0" encoding="utf-8"?>
<calcChain xmlns="http://schemas.openxmlformats.org/spreadsheetml/2006/main">
  <c r="E21" i="1" l="1"/>
  <c r="F21" i="1"/>
  <c r="G21" i="1" s="1"/>
  <c r="H21" i="1" s="1"/>
  <c r="Q21" i="1"/>
  <c r="F14" i="1"/>
  <c r="E44" i="1"/>
  <c r="F44" i="1" s="1"/>
  <c r="G44" i="1" s="1"/>
  <c r="K44" i="1" s="1"/>
  <c r="Q44" i="1"/>
  <c r="Q43" i="1"/>
  <c r="D9" i="1"/>
  <c r="C9" i="1"/>
  <c r="E24" i="1"/>
  <c r="F24" i="1" s="1"/>
  <c r="G24" i="1" s="1"/>
  <c r="K24" i="1" s="1"/>
  <c r="E35" i="1"/>
  <c r="F35" i="1"/>
  <c r="G35" i="1"/>
  <c r="K35" i="1" s="1"/>
  <c r="E33" i="1"/>
  <c r="F33" i="1" s="1"/>
  <c r="G33" i="1" s="1"/>
  <c r="I33" i="1" s="1"/>
  <c r="Q31" i="1"/>
  <c r="Q32" i="1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E21" i="3"/>
  <c r="G20" i="3"/>
  <c r="C20" i="3"/>
  <c r="G30" i="3"/>
  <c r="C30" i="3"/>
  <c r="G29" i="3"/>
  <c r="C29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30" i="3"/>
  <c r="B30" i="3"/>
  <c r="D30" i="3"/>
  <c r="A30" i="3"/>
  <c r="H29" i="3"/>
  <c r="D29" i="3"/>
  <c r="B29" i="3"/>
  <c r="A29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Q42" i="1"/>
  <c r="C7" i="2"/>
  <c r="C8" i="2"/>
  <c r="E22" i="2"/>
  <c r="F22" i="2"/>
  <c r="G22" i="2"/>
  <c r="I22" i="2"/>
  <c r="F11" i="2"/>
  <c r="G11" i="2"/>
  <c r="E15" i="2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22" i="1"/>
  <c r="Q23" i="1"/>
  <c r="Q24" i="1"/>
  <c r="Q25" i="1"/>
  <c r="Q26" i="1"/>
  <c r="Q27" i="1"/>
  <c r="Q28" i="1"/>
  <c r="Q29" i="1"/>
  <c r="Q30" i="1"/>
  <c r="Q41" i="1"/>
  <c r="Q39" i="1"/>
  <c r="Q40" i="1"/>
  <c r="Q38" i="1"/>
  <c r="Q37" i="1"/>
  <c r="Q34" i="1"/>
  <c r="Q35" i="1"/>
  <c r="Q36" i="1"/>
  <c r="C8" i="1"/>
  <c r="Q33" i="1"/>
  <c r="C17" i="1"/>
  <c r="E40" i="1"/>
  <c r="F40" i="1" s="1"/>
  <c r="G40" i="1" s="1"/>
  <c r="J40" i="1" s="1"/>
  <c r="E30" i="1"/>
  <c r="F30" i="1" s="1"/>
  <c r="G30" i="1" s="1"/>
  <c r="K30" i="1" s="1"/>
  <c r="E22" i="1"/>
  <c r="F22" i="1" s="1"/>
  <c r="G22" i="1" s="1"/>
  <c r="K22" i="1" s="1"/>
  <c r="E35" i="2"/>
  <c r="F35" i="2"/>
  <c r="G35" i="2"/>
  <c r="I35" i="2"/>
  <c r="E31" i="2"/>
  <c r="F31" i="2"/>
  <c r="G31" i="2"/>
  <c r="I31" i="2"/>
  <c r="E27" i="2"/>
  <c r="F27" i="2"/>
  <c r="G27" i="2"/>
  <c r="I27" i="2"/>
  <c r="E23" i="2"/>
  <c r="F23" i="2"/>
  <c r="G23" i="2"/>
  <c r="I23" i="2"/>
  <c r="E38" i="1"/>
  <c r="F38" i="1" s="1"/>
  <c r="G38" i="1" s="1"/>
  <c r="K38" i="1" s="1"/>
  <c r="E27" i="1"/>
  <c r="F27" i="1" s="1"/>
  <c r="G27" i="1" s="1"/>
  <c r="K27" i="1" s="1"/>
  <c r="E31" i="1"/>
  <c r="F31" i="1" s="1"/>
  <c r="G31" i="1" s="1"/>
  <c r="K31" i="1" s="1"/>
  <c r="E36" i="2"/>
  <c r="F36" i="2"/>
  <c r="G36" i="2"/>
  <c r="I36" i="2"/>
  <c r="E32" i="2"/>
  <c r="F32" i="2"/>
  <c r="G32" i="2"/>
  <c r="I32" i="2"/>
  <c r="E28" i="2"/>
  <c r="F28" i="2"/>
  <c r="G28" i="2"/>
  <c r="I28" i="2"/>
  <c r="E24" i="2"/>
  <c r="F24" i="2"/>
  <c r="G24" i="2"/>
  <c r="I24" i="2"/>
  <c r="E39" i="1"/>
  <c r="F39" i="1" s="1"/>
  <c r="G39" i="1" s="1"/>
  <c r="J39" i="1" s="1"/>
  <c r="E29" i="1"/>
  <c r="F29" i="1"/>
  <c r="G29" i="1" s="1"/>
  <c r="K29" i="1" s="1"/>
  <c r="E37" i="1"/>
  <c r="E23" i="3" s="1"/>
  <c r="E26" i="1"/>
  <c r="F26" i="1" s="1"/>
  <c r="G26" i="1" s="1"/>
  <c r="K26" i="1" s="1"/>
  <c r="E37" i="2"/>
  <c r="F37" i="2"/>
  <c r="G37" i="2"/>
  <c r="I37" i="2"/>
  <c r="E33" i="2"/>
  <c r="F33" i="2"/>
  <c r="G33" i="2"/>
  <c r="I33" i="2"/>
  <c r="E29" i="2"/>
  <c r="F29" i="2"/>
  <c r="G29" i="2"/>
  <c r="I29" i="2"/>
  <c r="E25" i="2"/>
  <c r="F25" i="2"/>
  <c r="G25" i="2"/>
  <c r="I25" i="2"/>
  <c r="E21" i="2"/>
  <c r="F21" i="2"/>
  <c r="G21" i="2"/>
  <c r="I21" i="2"/>
  <c r="E42" i="1"/>
  <c r="F42" i="1" s="1"/>
  <c r="G42" i="1" s="1"/>
  <c r="K42" i="1" s="1"/>
  <c r="E34" i="1"/>
  <c r="E20" i="3" s="1"/>
  <c r="E23" i="1"/>
  <c r="F23" i="1" s="1"/>
  <c r="G23" i="1" s="1"/>
  <c r="K23" i="1" s="1"/>
  <c r="E32" i="1"/>
  <c r="E30" i="3" s="1"/>
  <c r="F32" i="1"/>
  <c r="G32" i="1" s="1"/>
  <c r="K32" i="1" s="1"/>
  <c r="E41" i="1"/>
  <c r="F41" i="1" s="1"/>
  <c r="G41" i="1" s="1"/>
  <c r="K41" i="1" s="1"/>
  <c r="E28" i="1"/>
  <c r="E17" i="3" s="1"/>
  <c r="E43" i="1"/>
  <c r="F43" i="1" s="1"/>
  <c r="G43" i="1" s="1"/>
  <c r="K43" i="1" s="1"/>
  <c r="E38" i="2"/>
  <c r="F38" i="2"/>
  <c r="G38" i="2"/>
  <c r="I38" i="2"/>
  <c r="E34" i="2"/>
  <c r="F34" i="2"/>
  <c r="G34" i="2"/>
  <c r="E30" i="2"/>
  <c r="F30" i="2"/>
  <c r="G30" i="2"/>
  <c r="H30" i="2"/>
  <c r="E26" i="2"/>
  <c r="F26" i="2"/>
  <c r="G26" i="2"/>
  <c r="I26" i="2"/>
  <c r="E36" i="1"/>
  <c r="F36" i="1"/>
  <c r="G36" i="1" s="1"/>
  <c r="K36" i="1" s="1"/>
  <c r="E25" i="1"/>
  <c r="F25" i="1"/>
  <c r="G25" i="1" s="1"/>
  <c r="K25" i="1" s="1"/>
  <c r="E18" i="3"/>
  <c r="E25" i="3"/>
  <c r="I34" i="2"/>
  <c r="E19" i="3"/>
  <c r="E29" i="3"/>
  <c r="E15" i="3"/>
  <c r="E22" i="3"/>
  <c r="E14" i="3"/>
  <c r="C11" i="2"/>
  <c r="C12" i="2"/>
  <c r="E12" i="3" l="1"/>
  <c r="E27" i="3"/>
  <c r="E13" i="3"/>
  <c r="E24" i="3"/>
  <c r="E28" i="3"/>
  <c r="E11" i="3"/>
  <c r="E16" i="3"/>
  <c r="E26" i="3"/>
  <c r="F34" i="1"/>
  <c r="G34" i="1" s="1"/>
  <c r="K34" i="1" s="1"/>
  <c r="F28" i="1"/>
  <c r="G28" i="1" s="1"/>
  <c r="F37" i="1"/>
  <c r="G37" i="1" s="1"/>
  <c r="K37" i="1" s="1"/>
  <c r="F15" i="1"/>
  <c r="C16" i="2"/>
  <c r="D18" i="2" s="1"/>
  <c r="O28" i="2"/>
  <c r="O34" i="2"/>
  <c r="O22" i="2"/>
  <c r="O27" i="2"/>
  <c r="O36" i="2"/>
  <c r="O21" i="2"/>
  <c r="O32" i="2"/>
  <c r="O23" i="2"/>
  <c r="O31" i="2"/>
  <c r="O25" i="2"/>
  <c r="O38" i="2"/>
  <c r="O33" i="2"/>
  <c r="C15" i="2"/>
  <c r="O24" i="2"/>
  <c r="O26" i="2"/>
  <c r="O35" i="2"/>
  <c r="O37" i="2"/>
  <c r="O29" i="2"/>
  <c r="O30" i="2"/>
  <c r="C11" i="1"/>
  <c r="C12" i="1"/>
  <c r="O21" i="1" l="1"/>
  <c r="C16" i="1"/>
  <c r="D18" i="1" s="1"/>
  <c r="O34" i="1"/>
  <c r="O43" i="1"/>
  <c r="O33" i="1"/>
  <c r="O44" i="1"/>
  <c r="C15" i="1"/>
  <c r="C18" i="1" s="1"/>
  <c r="O25" i="1"/>
  <c r="O26" i="1"/>
  <c r="O38" i="1"/>
  <c r="O40" i="1"/>
  <c r="O28" i="1"/>
  <c r="O39" i="1"/>
  <c r="O32" i="1"/>
  <c r="O41" i="1"/>
  <c r="O42" i="1"/>
  <c r="O23" i="1"/>
  <c r="O36" i="1"/>
  <c r="O37" i="1"/>
  <c r="O35" i="1"/>
  <c r="O29" i="1"/>
  <c r="O30" i="1"/>
  <c r="O31" i="1"/>
  <c r="O27" i="1"/>
  <c r="O22" i="1"/>
  <c r="O24" i="1"/>
  <c r="K28" i="1"/>
  <c r="E16" i="2"/>
  <c r="E17" i="2" s="1"/>
  <c r="C18" i="2"/>
  <c r="F16" i="1" l="1"/>
  <c r="F18" i="1" s="1"/>
  <c r="F17" i="1" l="1"/>
</calcChain>
</file>

<file path=xl/sharedStrings.xml><?xml version="1.0" encoding="utf-8"?>
<sst xmlns="http://schemas.openxmlformats.org/spreadsheetml/2006/main" count="373" uniqueCount="157">
  <si>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</si>
  <si>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</si>
  <si>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</si>
  <si>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</si>
  <si>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</si>
  <si>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</si>
  <si>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</si>
  <si>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</si>
  <si>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</si>
  <si>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</si>
  <si>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</si>
  <si>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</si>
  <si>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</si>
  <si>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</si>
  <si>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</si>
  <si>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</si>
  <si>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</si>
  <si>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</si>
  <si>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</si>
  <si>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</si>
  <si>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</si>
  <si>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</si>
  <si>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</si>
  <si>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</si>
  <si>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</si>
  <si>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</si>
  <si>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</si>
  <si>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</si>
  <si>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</si>
  <si>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</si>
  <si>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</si>
  <si>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</si>
  <si>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</si>
  <si>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</si>
  <si>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</si>
  <si>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</si>
  <si>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</si>
  <si>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</si>
  <si>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</si>
  <si>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</si>
  <si>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</si>
  <si>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IV Dra / GSC 3869-0484               </t>
  </si>
  <si>
    <t xml:space="preserve">EW        </t>
  </si>
  <si>
    <t>IBVS 5438</t>
  </si>
  <si>
    <t>II</t>
  </si>
  <si>
    <t>IBVS 5543</t>
  </si>
  <si>
    <t>IBVS 5894</t>
  </si>
  <si>
    <t>IBVS 5945</t>
  </si>
  <si>
    <t>Period was verified by ToMcat 2010-12-13</t>
  </si>
  <si>
    <t>(Period search software)</t>
  </si>
  <si>
    <t>IBVS 4610</t>
  </si>
  <si>
    <t>??</t>
  </si>
  <si>
    <t>CCD</t>
  </si>
  <si>
    <t>IBVS 5992</t>
  </si>
  <si>
    <t>IBVS 6010</t>
  </si>
  <si>
    <t>.0013</t>
  </si>
  <si>
    <t>.0015</t>
  </si>
  <si>
    <t>IBVS 6029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</si>
  <si>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</si>
  <si>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</si>
  <si>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</si>
  <si>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</si>
  <si>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</si>
  <si>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</si>
  <si>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</si>
  <si>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</si>
  <si>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</si>
  <si>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</si>
  <si>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2450977.7701 </t>
  </si>
  <si>
    <t> 13.06.1998 06:28 </t>
  </si>
  <si>
    <t> 0.0034 </t>
  </si>
  <si>
    <t>E </t>
  </si>
  <si>
    <t>?</t>
  </si>
  <si>
    <t> Robb &amp; Cardinal </t>
  </si>
  <si>
    <t>IBVS 4610 </t>
  </si>
  <si>
    <t>2450977.9033 </t>
  </si>
  <si>
    <t> 13.06.1998 09:40 </t>
  </si>
  <si>
    <t> 0.0026 </t>
  </si>
  <si>
    <t>2450981.7882 </t>
  </si>
  <si>
    <t> 17.06.1998 06:55 </t>
  </si>
  <si>
    <t> -0.0001 </t>
  </si>
  <si>
    <t>2450984.8705 </t>
  </si>
  <si>
    <t> 20.06.1998 08:53 </t>
  </si>
  <si>
    <t> -0.0010 </t>
  </si>
  <si>
    <t>2450985.9425 </t>
  </si>
  <si>
    <t> 21.06.1998 10:37 </t>
  </si>
  <si>
    <t> -0.0014 </t>
  </si>
  <si>
    <t>2450986.8826 </t>
  </si>
  <si>
    <t> 22.06.1998 09:10 </t>
  </si>
  <si>
    <t> 0.0003 </t>
  </si>
  <si>
    <t>2450992.7796 </t>
  </si>
  <si>
    <t> 28.06.1998 06:42 </t>
  </si>
  <si>
    <t>2450992.9134 </t>
  </si>
  <si>
    <t> 28.06.1998 09:55 </t>
  </si>
  <si>
    <t> -0.0012 </t>
  </si>
  <si>
    <t>2450993.8528 </t>
  </si>
  <si>
    <t> 29.06.1998 08:28 </t>
  </si>
  <si>
    <t> -0.0002 </t>
  </si>
  <si>
    <t>2452049.3858 </t>
  </si>
  <si>
    <t> 19.05.2001 21:15 </t>
  </si>
  <si>
    <t> R.Diethelm </t>
  </si>
  <si>
    <t> BBS 125 </t>
  </si>
  <si>
    <t>2452360.6526 </t>
  </si>
  <si>
    <t> 27.03.2002 03:39 </t>
  </si>
  <si>
    <t> -0.0007 </t>
  </si>
  <si>
    <t> E.Blättler </t>
  </si>
  <si>
    <t> BBS 128 </t>
  </si>
  <si>
    <t>2452721.3860 </t>
  </si>
  <si>
    <t> 22.03.2003 21:15 </t>
  </si>
  <si>
    <t> -0.0028 </t>
  </si>
  <si>
    <t> BBS 129 </t>
  </si>
  <si>
    <t>2452721.5167 </t>
  </si>
  <si>
    <t> 23.03.2003 00:24 </t>
  </si>
  <si>
    <t> -0.0062 </t>
  </si>
  <si>
    <t>2452831.4403 </t>
  </si>
  <si>
    <t> 10.07.2003 22:34 </t>
  </si>
  <si>
    <t> -0.0057 </t>
  </si>
  <si>
    <t> BBS 130 </t>
  </si>
  <si>
    <t>2454952.8335 </t>
  </si>
  <si>
    <t> 01.05.2009 08:00 </t>
  </si>
  <si>
    <t> -0.1290 </t>
  </si>
  <si>
    <t>C </t>
  </si>
  <si>
    <t>IBVS 5894 </t>
  </si>
  <si>
    <t>2455267.8540 </t>
  </si>
  <si>
    <t> 12.03.2010 08:29 </t>
  </si>
  <si>
    <t> -0.1321 </t>
  </si>
  <si>
    <t>IBVS 5945 </t>
  </si>
  <si>
    <t>2455627.5160 </t>
  </si>
  <si>
    <t> 07.03.2011 00:23 </t>
  </si>
  <si>
    <t> 0.0008 </t>
  </si>
  <si>
    <t>-I</t>
  </si>
  <si>
    <t> F.Agerer </t>
  </si>
  <si>
    <t>BAVM 220 </t>
  </si>
  <si>
    <t>2455627.6477 </t>
  </si>
  <si>
    <t> 07.03.2011 03:32 </t>
  </si>
  <si>
    <t>11666</t>
  </si>
  <si>
    <t> -0.1356 </t>
  </si>
  <si>
    <t>2455647.8926 </t>
  </si>
  <si>
    <t> 27.03.2011 09:25 </t>
  </si>
  <si>
    <t>11741</t>
  </si>
  <si>
    <t> 0.0014 </t>
  </si>
  <si>
    <t>IBVS 5992 </t>
  </si>
  <si>
    <t>2456030.8836 </t>
  </si>
  <si>
    <t> 13.04.2012 09:12 </t>
  </si>
  <si>
    <t>13170</t>
  </si>
  <si>
    <t> -0.1299 </t>
  </si>
  <si>
    <t>IBVS 6029 </t>
  </si>
  <si>
    <t>BAD?</t>
  </si>
  <si>
    <t>IBVS 6195</t>
  </si>
  <si>
    <t>Add cycle</t>
  </si>
  <si>
    <t>Old Cycle</t>
  </si>
  <si>
    <t>OEJV 0211</t>
  </si>
  <si>
    <t xml:space="preserve">Mag </t>
  </si>
  <si>
    <t>Next ToM-P</t>
  </si>
  <si>
    <t>Next ToM-S</t>
  </si>
  <si>
    <t>VSX</t>
  </si>
  <si>
    <t>13.54 (0.5)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</si>
</sst>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3" fillId="0" borderId="2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2" fillId="0" borderId="3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6" fillId="0" borderId="0" xfId="8" applyFont="1"/>
    <xf numFmtId="0" fontId="16" fillId="0" borderId="0" xfId="8" applyFont="1" applyAlignment="1">
      <alignment horizontal="center"/>
    </xf>
    <xf numFmtId="0" fontId="16" fillId="0" borderId="0" xfId="8" applyFont="1" applyAlignment="1">
      <alignment horizontal="left"/>
    </xf>
    <xf numFmtId="0" fontId="24" fillId="0" borderId="15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22" fontId="25" fillId="0" borderId="16" xfId="0" applyNumberFormat="1" applyFont="1" applyBorder="1" applyAlignment="1">
      <alignment horizontal="right" vertical="center"/>
    </xf>
    <xf numFmtId="22" fontId="25" fillId="0" borderId="17" xfId="0" applyNumberFormat="1" applyFont="1" applyBorder="1" applyAlignment="1">
      <alignment horizontal="right" vertical="center"/>
    </xf>
    <xf numFmtId="0" fontId="6" fillId="0" borderId="0" xfId="0" applyFont="1" applyAlignment="1"/>
    <xf numFmtId="0" fontId="17" fillId="0" borderId="0" xfId="0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Dra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16</c:v>
                </c:pt>
                <c:pt idx="4">
                  <c:v>27.5</c:v>
                </c:pt>
                <c:pt idx="5">
                  <c:v>31.5</c:v>
                </c:pt>
                <c:pt idx="6">
                  <c:v>35</c:v>
                </c:pt>
                <c:pt idx="7">
                  <c:v>57</c:v>
                </c:pt>
                <c:pt idx="8">
                  <c:v>57.5</c:v>
                </c:pt>
                <c:pt idx="9">
                  <c:v>61</c:v>
                </c:pt>
                <c:pt idx="10">
                  <c:v>3998</c:v>
                </c:pt>
                <c:pt idx="11">
                  <c:v>5159</c:v>
                </c:pt>
                <c:pt idx="12">
                  <c:v>5679</c:v>
                </c:pt>
                <c:pt idx="13">
                  <c:v>6504.5</c:v>
                </c:pt>
                <c:pt idx="14">
                  <c:v>6505</c:v>
                </c:pt>
                <c:pt idx="15">
                  <c:v>6915</c:v>
                </c:pt>
                <c:pt idx="16">
                  <c:v>14827.5</c:v>
                </c:pt>
                <c:pt idx="17">
                  <c:v>16002.5</c:v>
                </c:pt>
                <c:pt idx="18">
                  <c:v>17344</c:v>
                </c:pt>
                <c:pt idx="19">
                  <c:v>17344.5</c:v>
                </c:pt>
                <c:pt idx="20">
                  <c:v>17420</c:v>
                </c:pt>
                <c:pt idx="21">
                  <c:v>18848.5</c:v>
                </c:pt>
                <c:pt idx="22">
                  <c:v>24301.5</c:v>
                </c:pt>
                <c:pt idx="23">
                  <c:v>26023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DF-4D62-BFCD-D89C2378BC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16</c:v>
                </c:pt>
                <c:pt idx="4">
                  <c:v>27.5</c:v>
                </c:pt>
                <c:pt idx="5">
                  <c:v>31.5</c:v>
                </c:pt>
                <c:pt idx="6">
                  <c:v>35</c:v>
                </c:pt>
                <c:pt idx="7">
                  <c:v>57</c:v>
                </c:pt>
                <c:pt idx="8">
                  <c:v>57.5</c:v>
                </c:pt>
                <c:pt idx="9">
                  <c:v>61</c:v>
                </c:pt>
                <c:pt idx="10">
                  <c:v>3998</c:v>
                </c:pt>
                <c:pt idx="11">
                  <c:v>5159</c:v>
                </c:pt>
                <c:pt idx="12">
                  <c:v>5679</c:v>
                </c:pt>
                <c:pt idx="13">
                  <c:v>6504.5</c:v>
                </c:pt>
                <c:pt idx="14">
                  <c:v>6505</c:v>
                </c:pt>
                <c:pt idx="15">
                  <c:v>6915</c:v>
                </c:pt>
                <c:pt idx="16">
                  <c:v>14827.5</c:v>
                </c:pt>
                <c:pt idx="17">
                  <c:v>16002.5</c:v>
                </c:pt>
                <c:pt idx="18">
                  <c:v>17344</c:v>
                </c:pt>
                <c:pt idx="19">
                  <c:v>17344.5</c:v>
                </c:pt>
                <c:pt idx="20">
                  <c:v>17420</c:v>
                </c:pt>
                <c:pt idx="21">
                  <c:v>18848.5</c:v>
                </c:pt>
                <c:pt idx="22">
                  <c:v>24301.5</c:v>
                </c:pt>
                <c:pt idx="23">
                  <c:v>26023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2">
                  <c:v>-1.0913000005530193E-3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DF-4D62-BFCD-D89C2378BC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16</c:v>
                </c:pt>
                <c:pt idx="4">
                  <c:v>27.5</c:v>
                </c:pt>
                <c:pt idx="5">
                  <c:v>31.5</c:v>
                </c:pt>
                <c:pt idx="6">
                  <c:v>35</c:v>
                </c:pt>
                <c:pt idx="7">
                  <c:v>57</c:v>
                </c:pt>
                <c:pt idx="8">
                  <c:v>57.5</c:v>
                </c:pt>
                <c:pt idx="9">
                  <c:v>61</c:v>
                </c:pt>
                <c:pt idx="10">
                  <c:v>3998</c:v>
                </c:pt>
                <c:pt idx="11">
                  <c:v>5159</c:v>
                </c:pt>
                <c:pt idx="12">
                  <c:v>5679</c:v>
                </c:pt>
                <c:pt idx="13">
                  <c:v>6504.5</c:v>
                </c:pt>
                <c:pt idx="14">
                  <c:v>6505</c:v>
                </c:pt>
                <c:pt idx="15">
                  <c:v>6915</c:v>
                </c:pt>
                <c:pt idx="16">
                  <c:v>14827.5</c:v>
                </c:pt>
                <c:pt idx="17">
                  <c:v>16002.5</c:v>
                </c:pt>
                <c:pt idx="18">
                  <c:v>17344</c:v>
                </c:pt>
                <c:pt idx="19">
                  <c:v>17344.5</c:v>
                </c:pt>
                <c:pt idx="20">
                  <c:v>17420</c:v>
                </c:pt>
                <c:pt idx="21">
                  <c:v>18848.5</c:v>
                </c:pt>
                <c:pt idx="22">
                  <c:v>24301.5</c:v>
                </c:pt>
                <c:pt idx="23">
                  <c:v>26023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8">
                  <c:v>7.5832000002264977E-3</c:v>
                </c:pt>
                <c:pt idx="19">
                  <c:v>5.2308500016806647E-3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DF-4D62-BFCD-D89C2378BC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16</c:v>
                </c:pt>
                <c:pt idx="4">
                  <c:v>27.5</c:v>
                </c:pt>
                <c:pt idx="5">
                  <c:v>31.5</c:v>
                </c:pt>
                <c:pt idx="6">
                  <c:v>35</c:v>
                </c:pt>
                <c:pt idx="7">
                  <c:v>57</c:v>
                </c:pt>
                <c:pt idx="8">
                  <c:v>57.5</c:v>
                </c:pt>
                <c:pt idx="9">
                  <c:v>61</c:v>
                </c:pt>
                <c:pt idx="10">
                  <c:v>3998</c:v>
                </c:pt>
                <c:pt idx="11">
                  <c:v>5159</c:v>
                </c:pt>
                <c:pt idx="12">
                  <c:v>5679</c:v>
                </c:pt>
                <c:pt idx="13">
                  <c:v>6504.5</c:v>
                </c:pt>
                <c:pt idx="14">
                  <c:v>6505</c:v>
                </c:pt>
                <c:pt idx="15">
                  <c:v>6915</c:v>
                </c:pt>
                <c:pt idx="16">
                  <c:v>14827.5</c:v>
                </c:pt>
                <c:pt idx="17">
                  <c:v>16002.5</c:v>
                </c:pt>
                <c:pt idx="18">
                  <c:v>17344</c:v>
                </c:pt>
                <c:pt idx="19">
                  <c:v>17344.5</c:v>
                </c:pt>
                <c:pt idx="20">
                  <c:v>17420</c:v>
                </c:pt>
                <c:pt idx="21">
                  <c:v>18848.5</c:v>
                </c:pt>
                <c:pt idx="22">
                  <c:v>24301.5</c:v>
                </c:pt>
                <c:pt idx="23">
                  <c:v>26023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">
                  <c:v>1.49529999907827E-3</c:v>
                </c:pt>
                <c:pt idx="2">
                  <c:v>6.4294999901903793E-4</c:v>
                </c:pt>
                <c:pt idx="3">
                  <c:v>-1.975200000742916E-3</c:v>
                </c:pt>
                <c:pt idx="4">
                  <c:v>-2.8792500015697442E-3</c:v>
                </c:pt>
                <c:pt idx="5">
                  <c:v>-3.2980500036501326E-3</c:v>
                </c:pt>
                <c:pt idx="6">
                  <c:v>-1.564500002132263E-3</c:v>
                </c:pt>
                <c:pt idx="7">
                  <c:v>-2.8679000024567358E-3</c:v>
                </c:pt>
                <c:pt idx="8">
                  <c:v>-3.1202500031213276E-3</c:v>
                </c:pt>
                <c:pt idx="9">
                  <c:v>-2.0866999984718859E-3</c:v>
                </c:pt>
                <c:pt idx="10">
                  <c:v>2.709399996092543E-3</c:v>
                </c:pt>
                <c:pt idx="11">
                  <c:v>-4.7300003643613309E-5</c:v>
                </c:pt>
                <c:pt idx="13">
                  <c:v>-1.5211499994620681E-3</c:v>
                </c:pt>
                <c:pt idx="14">
                  <c:v>-4.8735000018496066E-3</c:v>
                </c:pt>
                <c:pt idx="15">
                  <c:v>-4.200499999569729E-3</c:v>
                </c:pt>
                <c:pt idx="16">
                  <c:v>1.0560750000877306E-2</c:v>
                </c:pt>
                <c:pt idx="17">
                  <c:v>8.0382499945699237E-3</c:v>
                </c:pt>
                <c:pt idx="20">
                  <c:v>8.2259999981033616E-3</c:v>
                </c:pt>
                <c:pt idx="21">
                  <c:v>1.1662049997539725E-2</c:v>
                </c:pt>
                <c:pt idx="22">
                  <c:v>2.0032950000313576E-2</c:v>
                </c:pt>
                <c:pt idx="23">
                  <c:v>2.2631899890257046E-2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DF-4D62-BFCD-D89C2378BC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16</c:v>
                </c:pt>
                <c:pt idx="4">
                  <c:v>27.5</c:v>
                </c:pt>
                <c:pt idx="5">
                  <c:v>31.5</c:v>
                </c:pt>
                <c:pt idx="6">
                  <c:v>35</c:v>
                </c:pt>
                <c:pt idx="7">
                  <c:v>57</c:v>
                </c:pt>
                <c:pt idx="8">
                  <c:v>57.5</c:v>
                </c:pt>
                <c:pt idx="9">
                  <c:v>61</c:v>
                </c:pt>
                <c:pt idx="10">
                  <c:v>3998</c:v>
                </c:pt>
                <c:pt idx="11">
                  <c:v>5159</c:v>
                </c:pt>
                <c:pt idx="12">
                  <c:v>5679</c:v>
                </c:pt>
                <c:pt idx="13">
                  <c:v>6504.5</c:v>
                </c:pt>
                <c:pt idx="14">
                  <c:v>6505</c:v>
                </c:pt>
                <c:pt idx="15">
                  <c:v>6915</c:v>
                </c:pt>
                <c:pt idx="16">
                  <c:v>14827.5</c:v>
                </c:pt>
                <c:pt idx="17">
                  <c:v>16002.5</c:v>
                </c:pt>
                <c:pt idx="18">
                  <c:v>17344</c:v>
                </c:pt>
                <c:pt idx="19">
                  <c:v>17344.5</c:v>
                </c:pt>
                <c:pt idx="20">
                  <c:v>17420</c:v>
                </c:pt>
                <c:pt idx="21">
                  <c:v>18848.5</c:v>
                </c:pt>
                <c:pt idx="22">
                  <c:v>24301.5</c:v>
                </c:pt>
                <c:pt idx="23">
                  <c:v>26023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DF-4D62-BFCD-D89C2378BC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16</c:v>
                </c:pt>
                <c:pt idx="4">
                  <c:v>27.5</c:v>
                </c:pt>
                <c:pt idx="5">
                  <c:v>31.5</c:v>
                </c:pt>
                <c:pt idx="6">
                  <c:v>35</c:v>
                </c:pt>
                <c:pt idx="7">
                  <c:v>57</c:v>
                </c:pt>
                <c:pt idx="8">
                  <c:v>57.5</c:v>
                </c:pt>
                <c:pt idx="9">
                  <c:v>61</c:v>
                </c:pt>
                <c:pt idx="10">
                  <c:v>3998</c:v>
                </c:pt>
                <c:pt idx="11">
                  <c:v>5159</c:v>
                </c:pt>
                <c:pt idx="12">
                  <c:v>5679</c:v>
                </c:pt>
                <c:pt idx="13">
                  <c:v>6504.5</c:v>
                </c:pt>
                <c:pt idx="14">
                  <c:v>6505</c:v>
                </c:pt>
                <c:pt idx="15">
                  <c:v>6915</c:v>
                </c:pt>
                <c:pt idx="16">
                  <c:v>14827.5</c:v>
                </c:pt>
                <c:pt idx="17">
                  <c:v>16002.5</c:v>
                </c:pt>
                <c:pt idx="18">
                  <c:v>17344</c:v>
                </c:pt>
                <c:pt idx="19">
                  <c:v>17344.5</c:v>
                </c:pt>
                <c:pt idx="20">
                  <c:v>17420</c:v>
                </c:pt>
                <c:pt idx="21">
                  <c:v>18848.5</c:v>
                </c:pt>
                <c:pt idx="22">
                  <c:v>24301.5</c:v>
                </c:pt>
                <c:pt idx="23">
                  <c:v>26023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DF-4D62-BFCD-D89C2378BC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1.2999999999999999E-3</c:v>
                  </c:pt>
                  <c:pt idx="19">
                    <c:v>1.5E-3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4.0000000000000002E-4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16</c:v>
                </c:pt>
                <c:pt idx="4">
                  <c:v>27.5</c:v>
                </c:pt>
                <c:pt idx="5">
                  <c:v>31.5</c:v>
                </c:pt>
                <c:pt idx="6">
                  <c:v>35</c:v>
                </c:pt>
                <c:pt idx="7">
                  <c:v>57</c:v>
                </c:pt>
                <c:pt idx="8">
                  <c:v>57.5</c:v>
                </c:pt>
                <c:pt idx="9">
                  <c:v>61</c:v>
                </c:pt>
                <c:pt idx="10">
                  <c:v>3998</c:v>
                </c:pt>
                <c:pt idx="11">
                  <c:v>5159</c:v>
                </c:pt>
                <c:pt idx="12">
                  <c:v>5679</c:v>
                </c:pt>
                <c:pt idx="13">
                  <c:v>6504.5</c:v>
                </c:pt>
                <c:pt idx="14">
                  <c:v>6505</c:v>
                </c:pt>
                <c:pt idx="15">
                  <c:v>6915</c:v>
                </c:pt>
                <c:pt idx="16">
                  <c:v>14827.5</c:v>
                </c:pt>
                <c:pt idx="17">
                  <c:v>16002.5</c:v>
                </c:pt>
                <c:pt idx="18">
                  <c:v>17344</c:v>
                </c:pt>
                <c:pt idx="19">
                  <c:v>17344.5</c:v>
                </c:pt>
                <c:pt idx="20">
                  <c:v>17420</c:v>
                </c:pt>
                <c:pt idx="21">
                  <c:v>18848.5</c:v>
                </c:pt>
                <c:pt idx="22">
                  <c:v>24301.5</c:v>
                </c:pt>
                <c:pt idx="23">
                  <c:v>26023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DF-4D62-BFCD-D89C2378BC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16</c:v>
                </c:pt>
                <c:pt idx="4">
                  <c:v>27.5</c:v>
                </c:pt>
                <c:pt idx="5">
                  <c:v>31.5</c:v>
                </c:pt>
                <c:pt idx="6">
                  <c:v>35</c:v>
                </c:pt>
                <c:pt idx="7">
                  <c:v>57</c:v>
                </c:pt>
                <c:pt idx="8">
                  <c:v>57.5</c:v>
                </c:pt>
                <c:pt idx="9">
                  <c:v>61</c:v>
                </c:pt>
                <c:pt idx="10">
                  <c:v>3998</c:v>
                </c:pt>
                <c:pt idx="11">
                  <c:v>5159</c:v>
                </c:pt>
                <c:pt idx="12">
                  <c:v>5679</c:v>
                </c:pt>
                <c:pt idx="13">
                  <c:v>6504.5</c:v>
                </c:pt>
                <c:pt idx="14">
                  <c:v>6505</c:v>
                </c:pt>
                <c:pt idx="15">
                  <c:v>6915</c:v>
                </c:pt>
                <c:pt idx="16">
                  <c:v>14827.5</c:v>
                </c:pt>
                <c:pt idx="17">
                  <c:v>16002.5</c:v>
                </c:pt>
                <c:pt idx="18">
                  <c:v>17344</c:v>
                </c:pt>
                <c:pt idx="19">
                  <c:v>17344.5</c:v>
                </c:pt>
                <c:pt idx="20">
                  <c:v>17420</c:v>
                </c:pt>
                <c:pt idx="21">
                  <c:v>18848.5</c:v>
                </c:pt>
                <c:pt idx="22">
                  <c:v>24301.5</c:v>
                </c:pt>
                <c:pt idx="23">
                  <c:v>26023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-3.7627116046039968E-3</c:v>
                </c:pt>
                <c:pt idx="1">
                  <c:v>-3.76190708889723E-3</c:v>
                </c:pt>
                <c:pt idx="2">
                  <c:v>-3.7615048310438467E-3</c:v>
                </c:pt>
                <c:pt idx="3">
                  <c:v>-3.7498393532957299E-3</c:v>
                </c:pt>
                <c:pt idx="4">
                  <c:v>-3.7405874226679133E-3</c:v>
                </c:pt>
                <c:pt idx="5">
                  <c:v>-3.7373693598408463E-3</c:v>
                </c:pt>
                <c:pt idx="6">
                  <c:v>-3.7345535548671633E-3</c:v>
                </c:pt>
                <c:pt idx="7">
                  <c:v>-3.7168542093182961E-3</c:v>
                </c:pt>
                <c:pt idx="8">
                  <c:v>-3.7164519514649129E-3</c:v>
                </c:pt>
                <c:pt idx="9">
                  <c:v>-3.7136361464912295E-3</c:v>
                </c:pt>
                <c:pt idx="10">
                  <c:v>-5.4625780895082091E-4</c:v>
                </c:pt>
                <c:pt idx="11">
                  <c:v>3.8778492660529159E-4</c:v>
                </c:pt>
                <c:pt idx="12">
                  <c:v>8.0613309412396394E-4</c:v>
                </c:pt>
                <c:pt idx="13">
                  <c:v>1.4702608100598557E-3</c:v>
                </c:pt>
                <c:pt idx="14">
                  <c:v>1.4706630679132394E-3</c:v>
                </c:pt>
                <c:pt idx="15">
                  <c:v>1.8005145076875769E-3</c:v>
                </c:pt>
                <c:pt idx="16">
                  <c:v>8.1662450374789114E-3</c:v>
                </c:pt>
                <c:pt idx="17">
                  <c:v>9.111550992929757E-3</c:v>
                </c:pt>
                <c:pt idx="18">
                  <c:v>1.0190808813557255E-2</c:v>
                </c:pt>
                <c:pt idx="19">
                  <c:v>1.0191211071410638E-2</c:v>
                </c:pt>
                <c:pt idx="20">
                  <c:v>1.0251952007271522E-2</c:v>
                </c:pt>
                <c:pt idx="21">
                  <c:v>1.1401202694387722E-2</c:v>
                </c:pt>
                <c:pt idx="22">
                  <c:v>1.5788226843386412E-2</c:v>
                </c:pt>
                <c:pt idx="23">
                  <c:v>1.7173200632585248E-2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DF-4D62-BFCD-D89C2378BC1C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16</c:v>
                </c:pt>
                <c:pt idx="4">
                  <c:v>27.5</c:v>
                </c:pt>
                <c:pt idx="5">
                  <c:v>31.5</c:v>
                </c:pt>
                <c:pt idx="6">
                  <c:v>35</c:v>
                </c:pt>
                <c:pt idx="7">
                  <c:v>57</c:v>
                </c:pt>
                <c:pt idx="8">
                  <c:v>57.5</c:v>
                </c:pt>
                <c:pt idx="9">
                  <c:v>61</c:v>
                </c:pt>
                <c:pt idx="10">
                  <c:v>3998</c:v>
                </c:pt>
                <c:pt idx="11">
                  <c:v>5159</c:v>
                </c:pt>
                <c:pt idx="12">
                  <c:v>5679</c:v>
                </c:pt>
                <c:pt idx="13">
                  <c:v>6504.5</c:v>
                </c:pt>
                <c:pt idx="14">
                  <c:v>6505</c:v>
                </c:pt>
                <c:pt idx="15">
                  <c:v>6915</c:v>
                </c:pt>
                <c:pt idx="16">
                  <c:v>14827.5</c:v>
                </c:pt>
                <c:pt idx="17">
                  <c:v>16002.5</c:v>
                </c:pt>
                <c:pt idx="18">
                  <c:v>17344</c:v>
                </c:pt>
                <c:pt idx="19">
                  <c:v>17344.5</c:v>
                </c:pt>
                <c:pt idx="20">
                  <c:v>17420</c:v>
                </c:pt>
                <c:pt idx="21">
                  <c:v>18848.5</c:v>
                </c:pt>
                <c:pt idx="22">
                  <c:v>24301.5</c:v>
                </c:pt>
                <c:pt idx="23">
                  <c:v>26023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DF-4D62-BFCD-D89C2378B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619704"/>
        <c:axId val="1"/>
      </c:scatterChart>
      <c:valAx>
        <c:axId val="783619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619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97937099967764"/>
          <c:w val="0.7368421052631579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Dra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(2)'!$H$21:$H$982</c:f>
              <c:numCache>
                <c:formatCode>General</c:formatCode>
                <c:ptCount val="96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33-4166-8ED5-99068E6814D8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(2)'!$I$21:$I$982</c:f>
              <c:numCache>
                <c:formatCode>General</c:formatCode>
                <c:ptCount val="962"/>
                <c:pt idx="0">
                  <c:v>2.5865999996312894E-3</c:v>
                </c:pt>
                <c:pt idx="1">
                  <c:v>1.7342499995720573E-3</c:v>
                </c:pt>
                <c:pt idx="2">
                  <c:v>-8.8389999291393906E-4</c:v>
                </c:pt>
                <c:pt idx="3">
                  <c:v>-1.7879500010167249E-3</c:v>
                </c:pt>
                <c:pt idx="4">
                  <c:v>-2.2067500030971132E-3</c:v>
                </c:pt>
                <c:pt idx="5">
                  <c:v>-4.7320000157924369E-4</c:v>
                </c:pt>
                <c:pt idx="6">
                  <c:v>-1.7765999946277589E-3</c:v>
                </c:pt>
                <c:pt idx="7">
                  <c:v>-2.0289500025683083E-3</c:v>
                </c:pt>
                <c:pt idx="8">
                  <c:v>-9.9539999791886657E-4</c:v>
                </c:pt>
                <c:pt idx="10">
                  <c:v>-4.2984999890904874E-4</c:v>
                </c:pt>
                <c:pt idx="11">
                  <c:v>-3.7822000012965873E-3</c:v>
                </c:pt>
                <c:pt idx="12">
                  <c:v>-3.1091999990167096E-3</c:v>
                </c:pt>
                <c:pt idx="13">
                  <c:v>1.1652050001430325E-2</c:v>
                </c:pt>
                <c:pt idx="14">
                  <c:v>9.1295500023989007E-3</c:v>
                </c:pt>
                <c:pt idx="15">
                  <c:v>8.6745000080554746E-3</c:v>
                </c:pt>
                <c:pt idx="16">
                  <c:v>6.3221500022336841E-3</c:v>
                </c:pt>
                <c:pt idx="17">
                  <c:v>9.3172999986563809E-3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33-4166-8ED5-99068E6814D8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33-4166-8ED5-99068E6814D8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33-4166-8ED5-99068E6814D8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33-4166-8ED5-99068E6814D8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33-4166-8ED5-99068E6814D8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33-4166-8ED5-99068E6814D8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(2)'!$F$21:$F$982</c:f>
              <c:numCache>
                <c:formatCode>General</c:formatCode>
                <c:ptCount val="962"/>
                <c:pt idx="0">
                  <c:v>-5678</c:v>
                </c:pt>
                <c:pt idx="1">
                  <c:v>-5677.5</c:v>
                </c:pt>
                <c:pt idx="2">
                  <c:v>-5663</c:v>
                </c:pt>
                <c:pt idx="3">
                  <c:v>-5651.5</c:v>
                </c:pt>
                <c:pt idx="4">
                  <c:v>-5647.5</c:v>
                </c:pt>
                <c:pt idx="5">
                  <c:v>-5644</c:v>
                </c:pt>
                <c:pt idx="6">
                  <c:v>-5622</c:v>
                </c:pt>
                <c:pt idx="7">
                  <c:v>-5621.5</c:v>
                </c:pt>
                <c:pt idx="8">
                  <c:v>-5618</c:v>
                </c:pt>
                <c:pt idx="9">
                  <c:v>0</c:v>
                </c:pt>
                <c:pt idx="10">
                  <c:v>825.5</c:v>
                </c:pt>
                <c:pt idx="11">
                  <c:v>826</c:v>
                </c:pt>
                <c:pt idx="12">
                  <c:v>1236</c:v>
                </c:pt>
                <c:pt idx="13">
                  <c:v>9148.5</c:v>
                </c:pt>
                <c:pt idx="14">
                  <c:v>10323.5</c:v>
                </c:pt>
                <c:pt idx="15">
                  <c:v>11665</c:v>
                </c:pt>
                <c:pt idx="16">
                  <c:v>11665.5</c:v>
                </c:pt>
                <c:pt idx="17">
                  <c:v>11741</c:v>
                </c:pt>
              </c:numCache>
            </c:numRef>
          </c:xVal>
          <c:yVal>
            <c:numRef>
              <c:f>'A (2)'!$O$21:$O$982</c:f>
              <c:numCache>
                <c:formatCode>General</c:formatCode>
                <c:ptCount val="962"/>
                <c:pt idx="0">
                  <c:v>3.0239119579932808E-2</c:v>
                </c:pt>
                <c:pt idx="1">
                  <c:v>3.0238479910511602E-2</c:v>
                </c:pt>
                <c:pt idx="2">
                  <c:v>3.0219929497296683E-2</c:v>
                </c:pt>
                <c:pt idx="3">
                  <c:v>3.0205217100608982E-2</c:v>
                </c:pt>
                <c:pt idx="4">
                  <c:v>3.0200099745239347E-2</c:v>
                </c:pt>
                <c:pt idx="5">
                  <c:v>3.0195622059290918E-2</c:v>
                </c:pt>
                <c:pt idx="6">
                  <c:v>3.016747660475793E-2</c:v>
                </c:pt>
                <c:pt idx="7">
                  <c:v>3.0166836935336727E-2</c:v>
                </c:pt>
                <c:pt idx="8">
                  <c:v>3.0162359249388294E-2</c:v>
                </c:pt>
                <c:pt idx="9">
                  <c:v>2.2975033632737077E-2</c:v>
                </c:pt>
                <c:pt idx="10">
                  <c:v>2.1918939418328821E-2</c:v>
                </c:pt>
                <c:pt idx="11">
                  <c:v>2.1918299748907615E-2</c:v>
                </c:pt>
                <c:pt idx="12">
                  <c:v>2.1393770823520113E-2</c:v>
                </c:pt>
                <c:pt idx="13">
                  <c:v>1.1271002232962481E-2</c:v>
                </c:pt>
                <c:pt idx="14">
                  <c:v>9.7677790931324383E-3</c:v>
                </c:pt>
                <c:pt idx="15">
                  <c:v>8.0515460360413727E-3</c:v>
                </c:pt>
                <c:pt idx="16">
                  <c:v>8.0509063666201683E-3</c:v>
                </c:pt>
                <c:pt idx="17">
                  <c:v>7.9543162840183222E-3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33-4166-8ED5-99068E681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617904"/>
        <c:axId val="1"/>
      </c:scatterChart>
      <c:valAx>
        <c:axId val="78361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61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09022556390977"/>
          <c:y val="0.92375366568914952"/>
          <c:w val="0.90375939849624065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7C8CEB5-298A-64D6-199E-A85E6DE67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689DA322-45D2-0F49-CF4B-CEBF10D99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610" TargetMode="External"/><Relationship Id="rId13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4610" TargetMode="External"/><Relationship Id="rId7" Type="http://schemas.openxmlformats.org/officeDocument/2006/relationships/hyperlink" Target="http://www.konkoly.hu/cgi-bin/IBVS?4610" TargetMode="External"/><Relationship Id="rId1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4610" TargetMode="External"/><Relationship Id="rId1" Type="http://schemas.openxmlformats.org/officeDocument/2006/relationships/hyperlink" Target="http://www.konkoly.hu/cgi-bin/IBVS?4610" TargetMode="External"/><Relationship Id="rId6" Type="http://schemas.openxmlformats.org/officeDocument/2006/relationships/hyperlink" Target="http://www.konkoly.hu/cgi-bin/IBVS?4610" TargetMode="External"/><Relationship Id="rId11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www.konkoly.hu/cgi-bin/IBVS?4610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konkoly.hu/cgi-bin/IBVS?4610" TargetMode="External"/><Relationship Id="rId9" Type="http://schemas.openxmlformats.org/officeDocument/2006/relationships/hyperlink" Target="http://www.konkoly.hu/cgi-bin/IBVS?4610" TargetMode="External"/><Relationship Id="rId14" Type="http://schemas.openxmlformats.org/officeDocument/2006/relationships/hyperlink" Target="http://www.konkoly.hu/cgi-bin/IBVS?59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41</v>
      </c>
      <c r="F1" s="3">
        <v>52500.065999999999</v>
      </c>
      <c r="G1" s="3">
        <v>0.26810469999999997</v>
      </c>
      <c r="H1" s="3" t="s">
        <v>42</v>
      </c>
    </row>
    <row r="2" spans="1:8" ht="12.95" customHeight="1" x14ac:dyDescent="0.2">
      <c r="A2" t="s">
        <v>23</v>
      </c>
      <c r="B2" t="s">
        <v>42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40</v>
      </c>
      <c r="C4" s="8">
        <v>52500.065999999999</v>
      </c>
      <c r="D4" s="9">
        <v>0.26810469999999997</v>
      </c>
    </row>
    <row r="5" spans="1:8" ht="12.95" customHeight="1" thickTop="1" x14ac:dyDescent="0.2">
      <c r="A5" s="11" t="s">
        <v>30</v>
      </c>
      <c r="B5" s="12"/>
      <c r="C5" s="13">
        <v>-9.5</v>
      </c>
      <c r="D5" s="12" t="s">
        <v>31</v>
      </c>
    </row>
    <row r="6" spans="1:8" ht="12.95" customHeight="1" x14ac:dyDescent="0.2">
      <c r="A6" s="5" t="s">
        <v>0</v>
      </c>
    </row>
    <row r="7" spans="1:8" ht="12.95" customHeight="1" x14ac:dyDescent="0.2">
      <c r="A7" t="s">
        <v>1</v>
      </c>
      <c r="C7" s="72">
        <v>50977.500500000002</v>
      </c>
      <c r="D7" s="73" t="s">
        <v>155</v>
      </c>
    </row>
    <row r="8" spans="1:8" ht="12.95" customHeight="1" x14ac:dyDescent="0.2">
      <c r="A8" t="s">
        <v>2</v>
      </c>
      <c r="C8">
        <f>D4</f>
        <v>0.26810469999999997</v>
      </c>
      <c r="D8" s="30" t="s">
        <v>48</v>
      </c>
    </row>
    <row r="9" spans="1:8" ht="12.95" customHeight="1" x14ac:dyDescent="0.2">
      <c r="A9" s="27" t="s">
        <v>36</v>
      </c>
      <c r="B9" s="28">
        <v>23</v>
      </c>
      <c r="C9" s="25" t="str">
        <f>"F"&amp;B9</f>
        <v>F23</v>
      </c>
      <c r="D9" s="26" t="str">
        <f>"G"&amp;B9</f>
        <v>G23</v>
      </c>
    </row>
    <row r="10" spans="1:8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8" ht="12.95" customHeight="1" x14ac:dyDescent="0.2">
      <c r="A11" s="12" t="s">
        <v>14</v>
      </c>
      <c r="B11" s="12"/>
      <c r="C11" s="24">
        <f ca="1">INTERCEPT(INDIRECT($D$9):G975,INDIRECT($C$9):F975)</f>
        <v>-3.7627116046039968E-3</v>
      </c>
      <c r="D11" s="3"/>
      <c r="E11" s="12"/>
    </row>
    <row r="12" spans="1:8" ht="12.95" customHeight="1" x14ac:dyDescent="0.2">
      <c r="A12" s="12" t="s">
        <v>15</v>
      </c>
      <c r="B12" s="12"/>
      <c r="C12" s="24">
        <f ca="1">SLOPE(INDIRECT($D$9):G975,INDIRECT($C$9):F975)</f>
        <v>8.0451570676667736E-7</v>
      </c>
      <c r="D12" s="3"/>
      <c r="E12" s="66" t="s">
        <v>152</v>
      </c>
      <c r="F12" s="69" t="s">
        <v>156</v>
      </c>
    </row>
    <row r="13" spans="1:8" ht="12.95" customHeight="1" x14ac:dyDescent="0.2">
      <c r="A13" s="12" t="s">
        <v>18</v>
      </c>
      <c r="B13" s="12"/>
      <c r="C13" s="3" t="s">
        <v>12</v>
      </c>
      <c r="E13" s="64" t="s">
        <v>149</v>
      </c>
      <c r="F13" s="68">
        <v>1</v>
      </c>
    </row>
    <row r="14" spans="1:8" ht="12.95" customHeight="1" x14ac:dyDescent="0.2">
      <c r="A14" s="12"/>
      <c r="B14" s="12"/>
      <c r="C14" s="12"/>
      <c r="E14" s="64" t="s">
        <v>32</v>
      </c>
      <c r="F14" s="67">
        <f ca="1">NOW()+15018.5+$C$5/24</f>
        <v>60527.82923171296</v>
      </c>
    </row>
    <row r="15" spans="1:8" ht="12.95" customHeight="1" x14ac:dyDescent="0.2">
      <c r="A15" s="14" t="s">
        <v>16</v>
      </c>
      <c r="B15" s="12"/>
      <c r="C15" s="15">
        <f ca="1">(C7+C11)+(C8+C12)*INT(MAX(F21:F3516))</f>
        <v>57954.406281300631</v>
      </c>
      <c r="E15" s="64" t="s">
        <v>150</v>
      </c>
      <c r="F15" s="67">
        <f ca="1">ROUND(2*($F$14-$C$7)/$C$8,0)/2+$F$13</f>
        <v>35622.5</v>
      </c>
    </row>
    <row r="16" spans="1:8" ht="12.95" customHeight="1" x14ac:dyDescent="0.2">
      <c r="A16" s="18" t="s">
        <v>3</v>
      </c>
      <c r="B16" s="12"/>
      <c r="C16" s="19">
        <f ca="1">+C8+C12</f>
        <v>0.26810550451570675</v>
      </c>
      <c r="E16" s="64" t="s">
        <v>33</v>
      </c>
      <c r="F16" s="67">
        <f ca="1">ROUND(2*($F$14-$C$15)/$C$16,0)/2+$F$13</f>
        <v>9599.5</v>
      </c>
    </row>
    <row r="17" spans="1:21" ht="12.95" customHeight="1" thickBot="1" x14ac:dyDescent="0.25">
      <c r="A17" s="16" t="s">
        <v>29</v>
      </c>
      <c r="B17" s="12"/>
      <c r="C17" s="12">
        <f>COUNT(C21:C2174)</f>
        <v>24</v>
      </c>
      <c r="E17" s="64" t="s">
        <v>153</v>
      </c>
      <c r="F17" s="70">
        <f ca="1">+$C$15+$C$16*$F$16-15018.5-$C$5/24</f>
        <v>45509.980905232493</v>
      </c>
    </row>
    <row r="18" spans="1:21" ht="12.95" customHeight="1" thickTop="1" thickBot="1" x14ac:dyDescent="0.25">
      <c r="A18" s="18" t="s">
        <v>4</v>
      </c>
      <c r="B18" s="12"/>
      <c r="C18" s="21">
        <f ca="1">+C15</f>
        <v>57954.406281300631</v>
      </c>
      <c r="D18" s="22">
        <f ca="1">+C16</f>
        <v>0.26810550451570675</v>
      </c>
      <c r="E18" s="65" t="s">
        <v>154</v>
      </c>
      <c r="F18" s="71">
        <f ca="1">+($C$15+$C$16*$F$16)-($C$16/2)-15018.5-$C$5/24</f>
        <v>45509.846852480237</v>
      </c>
    </row>
    <row r="19" spans="1:21" ht="12.95" customHeight="1" thickTop="1" x14ac:dyDescent="0.2">
      <c r="E19" s="16"/>
      <c r="F19" s="20"/>
    </row>
    <row r="20" spans="1:21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155</v>
      </c>
      <c r="I20" s="7" t="s">
        <v>67</v>
      </c>
      <c r="J20" s="7" t="s">
        <v>61</v>
      </c>
      <c r="K20" s="7" t="s">
        <v>52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  <c r="U20" s="59" t="s">
        <v>147</v>
      </c>
    </row>
    <row r="21" spans="1:21" ht="12.95" customHeight="1" x14ac:dyDescent="0.2">
      <c r="A21" s="72" t="s">
        <v>155</v>
      </c>
      <c r="C21" s="10">
        <v>50977.500500000002</v>
      </c>
      <c r="D21" s="10"/>
      <c r="E21" s="36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-3.7627116046039968E-3</v>
      </c>
      <c r="Q21" s="2">
        <f>+C21-15018.5</f>
        <v>35959.000500000002</v>
      </c>
    </row>
    <row r="22" spans="1:21" ht="12.95" customHeight="1" x14ac:dyDescent="0.2">
      <c r="A22" s="35" t="s">
        <v>50</v>
      </c>
      <c r="B22" s="34" t="s">
        <v>51</v>
      </c>
      <c r="C22" s="35">
        <v>50977.770100000002</v>
      </c>
      <c r="D22" s="35" t="s">
        <v>52</v>
      </c>
      <c r="E22" s="36">
        <f>+(C22-C$7)/C$8</f>
        <v>1.0055772987181033</v>
      </c>
      <c r="F22">
        <f>ROUND(2*E22,0)/2</f>
        <v>1</v>
      </c>
      <c r="G22">
        <f>+C22-(C$7+F22*C$8)</f>
        <v>1.49529999907827E-3</v>
      </c>
      <c r="K22">
        <f>+G22</f>
        <v>1.49529999907827E-3</v>
      </c>
      <c r="O22">
        <f ca="1">+C$11+C$12*$F22</f>
        <v>-3.76190708889723E-3</v>
      </c>
      <c r="Q22" s="2">
        <f>+C22-15018.5</f>
        <v>35959.270100000002</v>
      </c>
    </row>
    <row r="23" spans="1:21" ht="12.95" customHeight="1" x14ac:dyDescent="0.2">
      <c r="A23" s="35" t="s">
        <v>50</v>
      </c>
      <c r="B23" s="34" t="s">
        <v>51</v>
      </c>
      <c r="C23" s="35">
        <v>50977.903299999998</v>
      </c>
      <c r="D23" s="35" t="s">
        <v>52</v>
      </c>
      <c r="E23" s="36">
        <f>+(C23-C$7)/C$8</f>
        <v>1.502398130268529</v>
      </c>
      <c r="F23">
        <f>ROUND(2*E23,0)/2</f>
        <v>1.5</v>
      </c>
      <c r="G23">
        <f>+C23-(C$7+F23*C$8)</f>
        <v>6.4294999901903793E-4</v>
      </c>
      <c r="K23">
        <f>+G23</f>
        <v>6.4294999901903793E-4</v>
      </c>
      <c r="O23">
        <f ca="1">+C$11+C$12*$F23</f>
        <v>-3.7615048310438467E-3</v>
      </c>
      <c r="Q23" s="2">
        <f>+C23-15018.5</f>
        <v>35959.403299999998</v>
      </c>
    </row>
    <row r="24" spans="1:21" ht="12.95" customHeight="1" x14ac:dyDescent="0.2">
      <c r="A24" s="35" t="s">
        <v>50</v>
      </c>
      <c r="B24" s="34" t="s">
        <v>51</v>
      </c>
      <c r="C24" s="35">
        <v>50981.788200000003</v>
      </c>
      <c r="D24" s="35" t="s">
        <v>52</v>
      </c>
      <c r="E24" s="36">
        <f>+(C24-C$7)/C$8</f>
        <v>15.992632728933021</v>
      </c>
      <c r="F24">
        <f>ROUND(2*E24,0)/2</f>
        <v>16</v>
      </c>
      <c r="G24">
        <f>+C24-(C$7+F24*C$8)</f>
        <v>-1.975200000742916E-3</v>
      </c>
      <c r="K24">
        <f>+G24</f>
        <v>-1.975200000742916E-3</v>
      </c>
      <c r="O24">
        <f ca="1">+C$11+C$12*$F24</f>
        <v>-3.7498393532957299E-3</v>
      </c>
      <c r="Q24" s="2">
        <f>+C24-15018.5</f>
        <v>35963.288200000003</v>
      </c>
    </row>
    <row r="25" spans="1:21" ht="12.95" customHeight="1" x14ac:dyDescent="0.2">
      <c r="A25" s="35" t="s">
        <v>50</v>
      </c>
      <c r="B25" s="34" t="s">
        <v>51</v>
      </c>
      <c r="C25" s="35">
        <v>50984.870499999997</v>
      </c>
      <c r="D25" s="35" t="s">
        <v>52</v>
      </c>
      <c r="E25" s="36">
        <f>+(C25-C$7)/C$8</f>
        <v>27.489260725363426</v>
      </c>
      <c r="F25">
        <f>ROUND(2*E25,0)/2</f>
        <v>27.5</v>
      </c>
      <c r="G25">
        <f>+C25-(C$7+F25*C$8)</f>
        <v>-2.8792500015697442E-3</v>
      </c>
      <c r="K25">
        <f>+G25</f>
        <v>-2.8792500015697442E-3</v>
      </c>
      <c r="O25">
        <f ca="1">+C$11+C$12*$F25</f>
        <v>-3.7405874226679133E-3</v>
      </c>
      <c r="Q25" s="2">
        <f>+C25-15018.5</f>
        <v>35966.370499999997</v>
      </c>
    </row>
    <row r="26" spans="1:21" ht="12.95" customHeight="1" x14ac:dyDescent="0.2">
      <c r="A26" s="35" t="s">
        <v>50</v>
      </c>
      <c r="B26" s="34" t="s">
        <v>51</v>
      </c>
      <c r="C26" s="35">
        <v>50985.942499999997</v>
      </c>
      <c r="D26" s="35" t="s">
        <v>52</v>
      </c>
      <c r="E26" s="36">
        <f>+(C26-C$7)/C$8</f>
        <v>31.487698649055613</v>
      </c>
      <c r="F26">
        <f>ROUND(2*E26,0)/2</f>
        <v>31.5</v>
      </c>
      <c r="G26">
        <f>+C26-(C$7+F26*C$8)</f>
        <v>-3.2980500036501326E-3</v>
      </c>
      <c r="K26">
        <f>+G26</f>
        <v>-3.2980500036501326E-3</v>
      </c>
      <c r="O26">
        <f ca="1">+C$11+C$12*$F26</f>
        <v>-3.7373693598408463E-3</v>
      </c>
      <c r="Q26" s="2">
        <f>+C26-15018.5</f>
        <v>35967.442499999997</v>
      </c>
    </row>
    <row r="27" spans="1:21" ht="12.95" customHeight="1" x14ac:dyDescent="0.2">
      <c r="A27" s="35" t="s">
        <v>50</v>
      </c>
      <c r="B27" s="34" t="s">
        <v>51</v>
      </c>
      <c r="C27" s="35">
        <v>50986.882599999997</v>
      </c>
      <c r="D27" s="35" t="s">
        <v>52</v>
      </c>
      <c r="E27" s="36">
        <f>+(C27-C$7)/C$8</f>
        <v>34.99416459314314</v>
      </c>
      <c r="F27">
        <f>ROUND(2*E27,0)/2</f>
        <v>35</v>
      </c>
      <c r="G27">
        <f>+C27-(C$7+F27*C$8)</f>
        <v>-1.564500002132263E-3</v>
      </c>
      <c r="K27">
        <f>+G27</f>
        <v>-1.564500002132263E-3</v>
      </c>
      <c r="O27">
        <f ca="1">+C$11+C$12*$F27</f>
        <v>-3.7345535548671633E-3</v>
      </c>
      <c r="Q27" s="2">
        <f>+C27-15018.5</f>
        <v>35968.382599999997</v>
      </c>
    </row>
    <row r="28" spans="1:21" ht="12.95" customHeight="1" x14ac:dyDescent="0.2">
      <c r="A28" s="35" t="s">
        <v>50</v>
      </c>
      <c r="B28" s="34" t="s">
        <v>51</v>
      </c>
      <c r="C28" s="35">
        <v>50992.779600000002</v>
      </c>
      <c r="D28" s="35" t="s">
        <v>52</v>
      </c>
      <c r="E28" s="36">
        <f>+(C28-C$7)/C$8</f>
        <v>56.989303059587336</v>
      </c>
      <c r="F28">
        <f>ROUND(2*E28,0)/2</f>
        <v>57</v>
      </c>
      <c r="G28">
        <f>+C28-(C$7+F28*C$8)</f>
        <v>-2.8679000024567358E-3</v>
      </c>
      <c r="K28">
        <f>+G28</f>
        <v>-2.8679000024567358E-3</v>
      </c>
      <c r="O28">
        <f ca="1">+C$11+C$12*$F28</f>
        <v>-3.7168542093182961E-3</v>
      </c>
      <c r="Q28" s="2">
        <f>+C28-15018.5</f>
        <v>35974.279600000002</v>
      </c>
    </row>
    <row r="29" spans="1:21" ht="12.95" customHeight="1" x14ac:dyDescent="0.2">
      <c r="A29" s="35" t="s">
        <v>50</v>
      </c>
      <c r="B29" s="34" t="s">
        <v>51</v>
      </c>
      <c r="C29" s="35">
        <v>50992.913399999998</v>
      </c>
      <c r="D29" s="35" t="s">
        <v>52</v>
      </c>
      <c r="E29" s="36">
        <f>+(C29-C$7)/C$8</f>
        <v>57.48836182280921</v>
      </c>
      <c r="F29">
        <f>ROUND(2*E29,0)/2</f>
        <v>57.5</v>
      </c>
      <c r="G29">
        <f>+C29-(C$7+F29*C$8)</f>
        <v>-3.1202500031213276E-3</v>
      </c>
      <c r="K29">
        <f>+G29</f>
        <v>-3.1202500031213276E-3</v>
      </c>
      <c r="O29">
        <f ca="1">+C$11+C$12*$F29</f>
        <v>-3.7164519514649129E-3</v>
      </c>
      <c r="Q29" s="2">
        <f>+C29-15018.5</f>
        <v>35974.413399999998</v>
      </c>
    </row>
    <row r="30" spans="1:21" ht="12.95" customHeight="1" x14ac:dyDescent="0.2">
      <c r="A30" s="35" t="s">
        <v>50</v>
      </c>
      <c r="B30" s="34" t="s">
        <v>51</v>
      </c>
      <c r="C30" s="35">
        <v>50993.852800000001</v>
      </c>
      <c r="D30" s="35" t="s">
        <v>52</v>
      </c>
      <c r="E30" s="36">
        <f>+(C30-C$7)/C$8</f>
        <v>60.992216846622426</v>
      </c>
      <c r="F30">
        <f>ROUND(2*E30,0)/2</f>
        <v>61</v>
      </c>
      <c r="G30">
        <f>+C30-(C$7+F30*C$8)</f>
        <v>-2.0866999984718859E-3</v>
      </c>
      <c r="K30">
        <f>+G30</f>
        <v>-2.0866999984718859E-3</v>
      </c>
      <c r="O30">
        <f ca="1">+C$11+C$12*$F30</f>
        <v>-3.7136361464912295E-3</v>
      </c>
      <c r="Q30" s="2">
        <f>+C30-15018.5</f>
        <v>35975.352800000001</v>
      </c>
    </row>
    <row r="31" spans="1:21" ht="12.95" customHeight="1" x14ac:dyDescent="0.2">
      <c r="A31" s="57" t="s">
        <v>101</v>
      </c>
      <c r="B31" s="57" t="s">
        <v>37</v>
      </c>
      <c r="C31" s="58">
        <v>52049.385799999996</v>
      </c>
      <c r="D31" s="58" t="s">
        <v>67</v>
      </c>
      <c r="E31" s="36">
        <f>+(C31-C$7)/C$8</f>
        <v>3998.0101057534412</v>
      </c>
      <c r="F31">
        <f>ROUND(2*E31,0)/2</f>
        <v>3998</v>
      </c>
      <c r="G31">
        <f>+C31-(C$7+F31*C$8)</f>
        <v>2.709399996092543E-3</v>
      </c>
      <c r="K31">
        <f>+G31</f>
        <v>2.709399996092543E-3</v>
      </c>
      <c r="O31">
        <f ca="1">+C$11+C$12*$F31</f>
        <v>-5.4625780895082091E-4</v>
      </c>
      <c r="Q31" s="2">
        <f>+C31-15018.5</f>
        <v>37030.885799999996</v>
      </c>
    </row>
    <row r="32" spans="1:21" x14ac:dyDescent="0.2">
      <c r="A32" s="57" t="s">
        <v>106</v>
      </c>
      <c r="B32" s="57" t="s">
        <v>37</v>
      </c>
      <c r="C32" s="58">
        <v>52360.652600000001</v>
      </c>
      <c r="D32" s="58" t="s">
        <v>67</v>
      </c>
      <c r="E32" s="36">
        <f>+(C32-C$7)/C$8</f>
        <v>5158.9998235763842</v>
      </c>
      <c r="F32">
        <f>ROUND(2*E32,0)/2</f>
        <v>5159</v>
      </c>
      <c r="G32">
        <f>+C32-(C$7+F32*C$8)</f>
        <v>-4.7300003643613309E-5</v>
      </c>
      <c r="K32">
        <f>+G32</f>
        <v>-4.7300003643613309E-5</v>
      </c>
      <c r="O32">
        <f ca="1">+C$11+C$12*$F32</f>
        <v>3.8778492660529159E-4</v>
      </c>
      <c r="Q32" s="2">
        <f>+C32-15018.5</f>
        <v>37342.152600000001</v>
      </c>
    </row>
    <row r="33" spans="1:17" x14ac:dyDescent="0.2">
      <c r="A33" s="33" t="s">
        <v>39</v>
      </c>
      <c r="B33" s="32" t="s">
        <v>37</v>
      </c>
      <c r="C33" s="33">
        <v>52500.065999999999</v>
      </c>
      <c r="D33" s="41"/>
      <c r="E33">
        <f>+(C33-C$7)/C$8</f>
        <v>5678.9959295752633</v>
      </c>
      <c r="F33">
        <f>ROUND(2*E33,0)/2</f>
        <v>5679</v>
      </c>
      <c r="G33">
        <f>+C33-(C$7+F33*C$8)</f>
        <v>-1.0913000005530193E-3</v>
      </c>
      <c r="I33">
        <f>+G33</f>
        <v>-1.0913000005530193E-3</v>
      </c>
      <c r="O33">
        <f ca="1">+C$11+C$12*$F33</f>
        <v>8.0613309412396394E-4</v>
      </c>
      <c r="Q33" s="2">
        <f>+C33-15018.5</f>
        <v>37481.565999999999</v>
      </c>
    </row>
    <row r="34" spans="1:17" x14ac:dyDescent="0.2">
      <c r="A34" s="33" t="s">
        <v>43</v>
      </c>
      <c r="B34" s="32" t="s">
        <v>44</v>
      </c>
      <c r="C34" s="33">
        <v>52721.385999999999</v>
      </c>
      <c r="D34" s="33">
        <v>5.9999999999999995E-4</v>
      </c>
      <c r="E34" s="36">
        <f>+(C34-C$7)/C$8</f>
        <v>6504.4943262837123</v>
      </c>
      <c r="F34">
        <f>ROUND(2*E34,0)/2</f>
        <v>6504.5</v>
      </c>
      <c r="G34">
        <f>+C34-(C$7+F34*C$8)</f>
        <v>-1.5211499994620681E-3</v>
      </c>
      <c r="K34">
        <f>+G34</f>
        <v>-1.5211499994620681E-3</v>
      </c>
      <c r="O34">
        <f ca="1">+C$11+C$12*$F34</f>
        <v>1.4702608100598557E-3</v>
      </c>
      <c r="Q34" s="2">
        <f>+C34-15018.5</f>
        <v>37702.885999999999</v>
      </c>
    </row>
    <row r="35" spans="1:17" x14ac:dyDescent="0.2">
      <c r="A35" s="33" t="s">
        <v>43</v>
      </c>
      <c r="B35" s="32" t="s">
        <v>37</v>
      </c>
      <c r="C35" s="33">
        <v>52721.5167</v>
      </c>
      <c r="D35" s="33">
        <v>8.0000000000000004E-4</v>
      </c>
      <c r="E35" s="36">
        <f>+(C35-C$7)/C$8</f>
        <v>6504.9818223999746</v>
      </c>
      <c r="F35">
        <f>ROUND(2*E35,0)/2</f>
        <v>6505</v>
      </c>
      <c r="G35">
        <f>+C35-(C$7+F35*C$8)</f>
        <v>-4.8735000018496066E-3</v>
      </c>
      <c r="K35">
        <f>+G35</f>
        <v>-4.8735000018496066E-3</v>
      </c>
      <c r="O35">
        <f ca="1">+C$11+C$12*$F35</f>
        <v>1.4706630679132394E-3</v>
      </c>
      <c r="Q35" s="2">
        <f>+C35-15018.5</f>
        <v>37703.0167</v>
      </c>
    </row>
    <row r="36" spans="1:17" x14ac:dyDescent="0.2">
      <c r="A36" s="35" t="s">
        <v>45</v>
      </c>
      <c r="B36" s="34" t="s">
        <v>37</v>
      </c>
      <c r="C36" s="35">
        <v>52831.440300000002</v>
      </c>
      <c r="D36" s="35">
        <v>5.9999999999999995E-4</v>
      </c>
      <c r="E36" s="36">
        <f>+(C36-C$7)/C$8</f>
        <v>6914.9843326133423</v>
      </c>
      <c r="F36">
        <f>ROUND(2*E36,0)/2</f>
        <v>6915</v>
      </c>
      <c r="G36">
        <f>+C36-(C$7+F36*C$8)</f>
        <v>-4.200499999569729E-3</v>
      </c>
      <c r="K36">
        <f>+G36</f>
        <v>-4.200499999569729E-3</v>
      </c>
      <c r="O36">
        <f ca="1">+C$11+C$12*$F36</f>
        <v>1.8005145076875769E-3</v>
      </c>
      <c r="Q36" s="2">
        <f>+C36-15018.5</f>
        <v>37812.940300000002</v>
      </c>
    </row>
    <row r="37" spans="1:17" x14ac:dyDescent="0.2">
      <c r="A37" s="33" t="s">
        <v>46</v>
      </c>
      <c r="B37" s="32" t="s">
        <v>44</v>
      </c>
      <c r="C37" s="33">
        <v>54952.833500000001</v>
      </c>
      <c r="D37" s="33">
        <v>2.9999999999999997E-4</v>
      </c>
      <c r="E37" s="36">
        <f>+(C37-C$7)/C$8</f>
        <v>14827.539390394868</v>
      </c>
      <c r="F37">
        <f>ROUND(2*E37,0)/2</f>
        <v>14827.5</v>
      </c>
      <c r="G37">
        <f>+C37-(C$7+F37*C$8)</f>
        <v>1.0560750000877306E-2</v>
      </c>
      <c r="K37">
        <f>+G37</f>
        <v>1.0560750000877306E-2</v>
      </c>
      <c r="O37">
        <f ca="1">+C$11+C$12*$F37</f>
        <v>8.1662450374789114E-3</v>
      </c>
      <c r="Q37" s="2">
        <f>+C37-15018.5</f>
        <v>39934.333500000001</v>
      </c>
    </row>
    <row r="38" spans="1:17" x14ac:dyDescent="0.2">
      <c r="A38" s="35" t="s">
        <v>47</v>
      </c>
      <c r="B38" s="34" t="s">
        <v>44</v>
      </c>
      <c r="C38" s="35">
        <v>55267.853999999999</v>
      </c>
      <c r="D38" s="35">
        <v>2.0000000000000001E-4</v>
      </c>
      <c r="E38" s="36">
        <f>+(C38-C$7)/C$8</f>
        <v>16002.529981757119</v>
      </c>
      <c r="F38">
        <f>ROUND(2*E38,0)/2</f>
        <v>16002.5</v>
      </c>
      <c r="G38">
        <f>+C38-(C$7+F38*C$8)</f>
        <v>8.0382499945699237E-3</v>
      </c>
      <c r="K38">
        <f>+G38</f>
        <v>8.0382499945699237E-3</v>
      </c>
      <c r="O38">
        <f ca="1">+C$11+C$12*$F38</f>
        <v>9.111550992929757E-3</v>
      </c>
      <c r="Q38" s="2">
        <f>+C38-15018.5</f>
        <v>40249.353999999999</v>
      </c>
    </row>
    <row r="39" spans="1:17" x14ac:dyDescent="0.2">
      <c r="A39" s="35" t="s">
        <v>54</v>
      </c>
      <c r="B39" s="34" t="s">
        <v>37</v>
      </c>
      <c r="C39" s="35">
        <v>55627.516000000003</v>
      </c>
      <c r="D39" s="35">
        <v>1.2999999999999999E-3</v>
      </c>
      <c r="E39" s="36">
        <f>+(C39-C$7)/C$8</f>
        <v>17344.028284472453</v>
      </c>
      <c r="F39">
        <f>ROUND(2*E39,0)/2</f>
        <v>17344</v>
      </c>
      <c r="G39">
        <f>+C39-(C$7+F39*C$8)</f>
        <v>7.5832000002264977E-3</v>
      </c>
      <c r="J39">
        <f>+G39</f>
        <v>7.5832000002264977E-3</v>
      </c>
      <c r="O39">
        <f ca="1">+C$11+C$12*$F39</f>
        <v>1.0190808813557255E-2</v>
      </c>
      <c r="Q39" s="2">
        <f>+C39-15018.5</f>
        <v>40609.016000000003</v>
      </c>
    </row>
    <row r="40" spans="1:17" x14ac:dyDescent="0.2">
      <c r="A40" s="35" t="s">
        <v>54</v>
      </c>
      <c r="B40" s="34" t="s">
        <v>37</v>
      </c>
      <c r="C40" s="35">
        <v>55627.647700000001</v>
      </c>
      <c r="D40" s="35">
        <v>1.5E-3</v>
      </c>
      <c r="E40" s="36">
        <f>+(C40-C$7)/C$8</f>
        <v>17344.519510474824</v>
      </c>
      <c r="F40">
        <f>ROUND(2*E40,0)/2</f>
        <v>17344.5</v>
      </c>
      <c r="G40">
        <f>+C40-(C$7+F40*C$8)</f>
        <v>5.2308500016806647E-3</v>
      </c>
      <c r="J40">
        <f>+G40</f>
        <v>5.2308500016806647E-3</v>
      </c>
      <c r="O40">
        <f ca="1">+C$11+C$12*$F40</f>
        <v>1.0191211071410638E-2</v>
      </c>
      <c r="Q40" s="2">
        <f>+C40-15018.5</f>
        <v>40609.147700000001</v>
      </c>
    </row>
    <row r="41" spans="1:17" x14ac:dyDescent="0.2">
      <c r="A41" s="35" t="s">
        <v>53</v>
      </c>
      <c r="B41" s="34" t="s">
        <v>37</v>
      </c>
      <c r="C41" s="35">
        <v>55647.892599999999</v>
      </c>
      <c r="D41" s="35">
        <v>2.9999999999999997E-4</v>
      </c>
      <c r="E41" s="36">
        <f>+(C41-C$7)/C$8</f>
        <v>17420.030682043238</v>
      </c>
      <c r="F41">
        <f>ROUND(2*E41,0)/2</f>
        <v>17420</v>
      </c>
      <c r="G41">
        <f>+C41-(C$7+F41*C$8)</f>
        <v>8.2259999981033616E-3</v>
      </c>
      <c r="K41">
        <f>+G41</f>
        <v>8.2259999981033616E-3</v>
      </c>
      <c r="O41">
        <f ca="1">+C$11+C$12*$F41</f>
        <v>1.0251952007271522E-2</v>
      </c>
      <c r="Q41" s="2">
        <f>+C41-15018.5</f>
        <v>40629.392599999999</v>
      </c>
    </row>
    <row r="42" spans="1:17" x14ac:dyDescent="0.2">
      <c r="A42" s="42" t="s">
        <v>57</v>
      </c>
      <c r="B42" s="43" t="s">
        <v>44</v>
      </c>
      <c r="C42" s="42">
        <v>56030.883600000001</v>
      </c>
      <c r="D42" s="42">
        <v>5.9999999999999995E-4</v>
      </c>
      <c r="E42" s="36">
        <f>+(C42-C$7)/C$8</f>
        <v>18848.543498118459</v>
      </c>
      <c r="F42">
        <f>ROUND(2*E42,0)/2</f>
        <v>18848.5</v>
      </c>
      <c r="G42">
        <f>+C42-(C$7+F42*C$8)</f>
        <v>1.1662049997539725E-2</v>
      </c>
      <c r="K42">
        <f>+G42</f>
        <v>1.1662049997539725E-2</v>
      </c>
      <c r="O42">
        <f ca="1">+C$11+C$12*$F42</f>
        <v>1.1401202694387722E-2</v>
      </c>
      <c r="Q42" s="2">
        <f>+C42-15018.5</f>
        <v>41012.383600000001</v>
      </c>
    </row>
    <row r="43" spans="1:17" x14ac:dyDescent="0.2">
      <c r="A43" s="60" t="s">
        <v>148</v>
      </c>
      <c r="C43" s="10">
        <v>57492.866900000001</v>
      </c>
      <c r="D43" s="10">
        <v>4.0000000000000002E-4</v>
      </c>
      <c r="E43" s="36">
        <f>+(C43-C$7)/C$8</f>
        <v>24301.574720622204</v>
      </c>
      <c r="F43">
        <f>ROUND(2*E43,0)/2</f>
        <v>24301.5</v>
      </c>
      <c r="G43">
        <f>+C43-(C$7+F43*C$8)</f>
        <v>2.0032950000313576E-2</v>
      </c>
      <c r="K43">
        <f>+G43</f>
        <v>2.0032950000313576E-2</v>
      </c>
      <c r="O43">
        <f ca="1">+C$11+C$12*$F43</f>
        <v>1.5788226843386412E-2</v>
      </c>
      <c r="Q43" s="2">
        <f>+C43-15018.5</f>
        <v>42474.366900000001</v>
      </c>
    </row>
    <row r="44" spans="1:17" x14ac:dyDescent="0.2">
      <c r="A44" s="61" t="s">
        <v>151</v>
      </c>
      <c r="B44" s="62" t="s">
        <v>37</v>
      </c>
      <c r="C44" s="63">
        <v>57954.411739999894</v>
      </c>
      <c r="D44" s="63">
        <v>2.9999999999999997E-4</v>
      </c>
      <c r="E44" s="36">
        <f>+(C44-C$7)/C$8</f>
        <v>26023.084414409343</v>
      </c>
      <c r="F44">
        <f>ROUND(2*E44,0)/2</f>
        <v>26023</v>
      </c>
      <c r="G44">
        <f>+C44-(C$7+F44*C$8)</f>
        <v>2.2631899890257046E-2</v>
      </c>
      <c r="K44">
        <f>+G44</f>
        <v>2.2631899890257046E-2</v>
      </c>
      <c r="O44">
        <f ca="1">+C$11+C$12*$F44</f>
        <v>1.7173200632585248E-2</v>
      </c>
      <c r="Q44" s="2">
        <f>+C44-15018.5</f>
        <v>42935.911739999894</v>
      </c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rotectedRanges>
    <protectedRange sqref="A43:D43" name="Range1"/>
  </protectedRanges>
  <sortState xmlns:xlrd2="http://schemas.microsoft.com/office/spreadsheetml/2017/richdata2" ref="A21:Z46">
    <sortCondition ref="C21:C46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8"/>
  <sheetViews>
    <sheetView topLeftCell="A7" workbookViewId="0">
      <selection activeCell="A29" sqref="A29:D3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4" t="s">
        <v>58</v>
      </c>
      <c r="I1" s="45" t="s">
        <v>59</v>
      </c>
      <c r="J1" s="46" t="s">
        <v>52</v>
      </c>
    </row>
    <row r="2" spans="1:16" x14ac:dyDescent="0.2">
      <c r="I2" s="47" t="s">
        <v>60</v>
      </c>
      <c r="J2" s="48" t="s">
        <v>61</v>
      </c>
    </row>
    <row r="3" spans="1:16" x14ac:dyDescent="0.2">
      <c r="A3" s="49" t="s">
        <v>62</v>
      </c>
      <c r="I3" s="47" t="s">
        <v>63</v>
      </c>
      <c r="J3" s="48" t="s">
        <v>64</v>
      </c>
    </row>
    <row r="4" spans="1:16" x14ac:dyDescent="0.2">
      <c r="I4" s="47" t="s">
        <v>65</v>
      </c>
      <c r="J4" s="48" t="s">
        <v>64</v>
      </c>
    </row>
    <row r="5" spans="1:16" ht="13.5" thickBot="1" x14ac:dyDescent="0.25">
      <c r="I5" s="50" t="s">
        <v>66</v>
      </c>
      <c r="J5" s="51" t="s">
        <v>67</v>
      </c>
    </row>
    <row r="10" spans="1:16" ht="13.5" thickBot="1" x14ac:dyDescent="0.25"/>
    <row r="11" spans="1:16" ht="12.75" customHeight="1" thickBot="1" x14ac:dyDescent="0.25">
      <c r="A11" s="10" t="str">
        <f t="shared" ref="A11:A30" si="0">P11</f>
        <v>IBVS 4610 </v>
      </c>
      <c r="B11" s="3" t="str">
        <f t="shared" ref="B11:B30" si="1">IF(H11=INT(H11),"I","II")</f>
        <v>I</v>
      </c>
      <c r="C11" s="10">
        <f t="shared" ref="C11:C30" si="2">1*G11</f>
        <v>50977.770100000002</v>
      </c>
      <c r="D11" s="12" t="str">
        <f t="shared" ref="D11:D30" si="3">VLOOKUP(F11,I$1:J$5,2,FALSE)</f>
        <v>vis</v>
      </c>
      <c r="E11" s="52">
        <f>VLOOKUP(C11,Active!C$21:E$973,3,FALSE)</f>
        <v>1.0055772987181033</v>
      </c>
      <c r="F11" s="3" t="s">
        <v>66</v>
      </c>
      <c r="G11" s="12" t="str">
        <f t="shared" ref="G11:G30" si="4">MID(I11,3,LEN(I11)-3)</f>
        <v>50977.7701</v>
      </c>
      <c r="H11" s="10">
        <f t="shared" ref="H11:H30" si="5">1*K11</f>
        <v>-5678</v>
      </c>
      <c r="I11" s="53" t="s">
        <v>68</v>
      </c>
      <c r="J11" s="54" t="s">
        <v>69</v>
      </c>
      <c r="K11" s="53">
        <v>-5678</v>
      </c>
      <c r="L11" s="53" t="s">
        <v>70</v>
      </c>
      <c r="M11" s="54" t="s">
        <v>71</v>
      </c>
      <c r="N11" s="54" t="s">
        <v>72</v>
      </c>
      <c r="O11" s="55" t="s">
        <v>73</v>
      </c>
      <c r="P11" s="56" t="s">
        <v>74</v>
      </c>
    </row>
    <row r="12" spans="1:16" ht="12.75" customHeight="1" thickBot="1" x14ac:dyDescent="0.25">
      <c r="A12" s="10" t="str">
        <f t="shared" si="0"/>
        <v>IBVS 4610 </v>
      </c>
      <c r="B12" s="3" t="str">
        <f t="shared" si="1"/>
        <v>II</v>
      </c>
      <c r="C12" s="10">
        <f t="shared" si="2"/>
        <v>50977.903299999998</v>
      </c>
      <c r="D12" s="12" t="str">
        <f t="shared" si="3"/>
        <v>vis</v>
      </c>
      <c r="E12" s="52">
        <f>VLOOKUP(C12,Active!C$21:E$973,3,FALSE)</f>
        <v>1.502398130268529</v>
      </c>
      <c r="F12" s="3" t="s">
        <v>66</v>
      </c>
      <c r="G12" s="12" t="str">
        <f t="shared" si="4"/>
        <v>50977.9033</v>
      </c>
      <c r="H12" s="10">
        <f t="shared" si="5"/>
        <v>-5677.5</v>
      </c>
      <c r="I12" s="53" t="s">
        <v>75</v>
      </c>
      <c r="J12" s="54" t="s">
        <v>76</v>
      </c>
      <c r="K12" s="53">
        <v>-5677.5</v>
      </c>
      <c r="L12" s="53" t="s">
        <v>77</v>
      </c>
      <c r="M12" s="54" t="s">
        <v>71</v>
      </c>
      <c r="N12" s="54" t="s">
        <v>72</v>
      </c>
      <c r="O12" s="55" t="s">
        <v>73</v>
      </c>
      <c r="P12" s="56" t="s">
        <v>74</v>
      </c>
    </row>
    <row r="13" spans="1:16" ht="12.75" customHeight="1" thickBot="1" x14ac:dyDescent="0.25">
      <c r="A13" s="10" t="str">
        <f t="shared" si="0"/>
        <v>IBVS 4610 </v>
      </c>
      <c r="B13" s="3" t="str">
        <f t="shared" si="1"/>
        <v>I</v>
      </c>
      <c r="C13" s="10">
        <f t="shared" si="2"/>
        <v>50981.788200000003</v>
      </c>
      <c r="D13" s="12" t="str">
        <f t="shared" si="3"/>
        <v>vis</v>
      </c>
      <c r="E13" s="52">
        <f>VLOOKUP(C13,Active!C$21:E$973,3,FALSE)</f>
        <v>15.992632728933021</v>
      </c>
      <c r="F13" s="3" t="s">
        <v>66</v>
      </c>
      <c r="G13" s="12" t="str">
        <f t="shared" si="4"/>
        <v>50981.7882</v>
      </c>
      <c r="H13" s="10">
        <f t="shared" si="5"/>
        <v>-5663</v>
      </c>
      <c r="I13" s="53" t="s">
        <v>78</v>
      </c>
      <c r="J13" s="54" t="s">
        <v>79</v>
      </c>
      <c r="K13" s="53">
        <v>-5663</v>
      </c>
      <c r="L13" s="53" t="s">
        <v>80</v>
      </c>
      <c r="M13" s="54" t="s">
        <v>71</v>
      </c>
      <c r="N13" s="54" t="s">
        <v>72</v>
      </c>
      <c r="O13" s="55" t="s">
        <v>73</v>
      </c>
      <c r="P13" s="56" t="s">
        <v>74</v>
      </c>
    </row>
    <row r="14" spans="1:16" ht="12.75" customHeight="1" thickBot="1" x14ac:dyDescent="0.25">
      <c r="A14" s="10" t="str">
        <f t="shared" si="0"/>
        <v>IBVS 4610 </v>
      </c>
      <c r="B14" s="3" t="str">
        <f t="shared" si="1"/>
        <v>II</v>
      </c>
      <c r="C14" s="10">
        <f t="shared" si="2"/>
        <v>50984.870499999997</v>
      </c>
      <c r="D14" s="12" t="str">
        <f t="shared" si="3"/>
        <v>vis</v>
      </c>
      <c r="E14" s="52">
        <f>VLOOKUP(C14,Active!C$21:E$973,3,FALSE)</f>
        <v>27.489260725363426</v>
      </c>
      <c r="F14" s="3" t="s">
        <v>66</v>
      </c>
      <c r="G14" s="12" t="str">
        <f t="shared" si="4"/>
        <v>50984.8705</v>
      </c>
      <c r="H14" s="10">
        <f t="shared" si="5"/>
        <v>-5651.5</v>
      </c>
      <c r="I14" s="53" t="s">
        <v>81</v>
      </c>
      <c r="J14" s="54" t="s">
        <v>82</v>
      </c>
      <c r="K14" s="53">
        <v>-5651.5</v>
      </c>
      <c r="L14" s="53" t="s">
        <v>83</v>
      </c>
      <c r="M14" s="54" t="s">
        <v>71</v>
      </c>
      <c r="N14" s="54" t="s">
        <v>72</v>
      </c>
      <c r="O14" s="55" t="s">
        <v>73</v>
      </c>
      <c r="P14" s="56" t="s">
        <v>74</v>
      </c>
    </row>
    <row r="15" spans="1:16" ht="12.75" customHeight="1" thickBot="1" x14ac:dyDescent="0.25">
      <c r="A15" s="10" t="str">
        <f t="shared" si="0"/>
        <v>IBVS 4610 </v>
      </c>
      <c r="B15" s="3" t="str">
        <f t="shared" si="1"/>
        <v>II</v>
      </c>
      <c r="C15" s="10">
        <f t="shared" si="2"/>
        <v>50985.942499999997</v>
      </c>
      <c r="D15" s="12" t="str">
        <f t="shared" si="3"/>
        <v>vis</v>
      </c>
      <c r="E15" s="52">
        <f>VLOOKUP(C15,Active!C$21:E$973,3,FALSE)</f>
        <v>31.487698649055613</v>
      </c>
      <c r="F15" s="3" t="s">
        <v>66</v>
      </c>
      <c r="G15" s="12" t="str">
        <f t="shared" si="4"/>
        <v>50985.9425</v>
      </c>
      <c r="H15" s="10">
        <f t="shared" si="5"/>
        <v>-5647.5</v>
      </c>
      <c r="I15" s="53" t="s">
        <v>84</v>
      </c>
      <c r="J15" s="54" t="s">
        <v>85</v>
      </c>
      <c r="K15" s="53">
        <v>-5647.5</v>
      </c>
      <c r="L15" s="53" t="s">
        <v>86</v>
      </c>
      <c r="M15" s="54" t="s">
        <v>71</v>
      </c>
      <c r="N15" s="54" t="s">
        <v>72</v>
      </c>
      <c r="O15" s="55" t="s">
        <v>73</v>
      </c>
      <c r="P15" s="56" t="s">
        <v>74</v>
      </c>
    </row>
    <row r="16" spans="1:16" ht="12.75" customHeight="1" thickBot="1" x14ac:dyDescent="0.25">
      <c r="A16" s="10" t="str">
        <f t="shared" si="0"/>
        <v>IBVS 4610 </v>
      </c>
      <c r="B16" s="3" t="str">
        <f t="shared" si="1"/>
        <v>I</v>
      </c>
      <c r="C16" s="10">
        <f t="shared" si="2"/>
        <v>50986.882599999997</v>
      </c>
      <c r="D16" s="12" t="str">
        <f t="shared" si="3"/>
        <v>vis</v>
      </c>
      <c r="E16" s="52">
        <f>VLOOKUP(C16,Active!C$21:E$973,3,FALSE)</f>
        <v>34.99416459314314</v>
      </c>
      <c r="F16" s="3" t="s">
        <v>66</v>
      </c>
      <c r="G16" s="12" t="str">
        <f t="shared" si="4"/>
        <v>50986.8826</v>
      </c>
      <c r="H16" s="10">
        <f t="shared" si="5"/>
        <v>-5644</v>
      </c>
      <c r="I16" s="53" t="s">
        <v>87</v>
      </c>
      <c r="J16" s="54" t="s">
        <v>88</v>
      </c>
      <c r="K16" s="53">
        <v>-5644</v>
      </c>
      <c r="L16" s="53" t="s">
        <v>89</v>
      </c>
      <c r="M16" s="54" t="s">
        <v>71</v>
      </c>
      <c r="N16" s="54" t="s">
        <v>72</v>
      </c>
      <c r="O16" s="55" t="s">
        <v>73</v>
      </c>
      <c r="P16" s="56" t="s">
        <v>74</v>
      </c>
    </row>
    <row r="17" spans="1:16" ht="12.75" customHeight="1" thickBot="1" x14ac:dyDescent="0.25">
      <c r="A17" s="10" t="str">
        <f t="shared" si="0"/>
        <v>IBVS 4610 </v>
      </c>
      <c r="B17" s="3" t="str">
        <f t="shared" si="1"/>
        <v>I</v>
      </c>
      <c r="C17" s="10">
        <f t="shared" si="2"/>
        <v>50992.779600000002</v>
      </c>
      <c r="D17" s="12" t="str">
        <f t="shared" si="3"/>
        <v>vis</v>
      </c>
      <c r="E17" s="52">
        <f>VLOOKUP(C17,Active!C$21:E$973,3,FALSE)</f>
        <v>56.989303059587336</v>
      </c>
      <c r="F17" s="3" t="s">
        <v>66</v>
      </c>
      <c r="G17" s="12" t="str">
        <f t="shared" si="4"/>
        <v>50992.7796</v>
      </c>
      <c r="H17" s="10">
        <f t="shared" si="5"/>
        <v>-5622</v>
      </c>
      <c r="I17" s="53" t="s">
        <v>90</v>
      </c>
      <c r="J17" s="54" t="s">
        <v>91</v>
      </c>
      <c r="K17" s="53">
        <v>-5622</v>
      </c>
      <c r="L17" s="53" t="s">
        <v>83</v>
      </c>
      <c r="M17" s="54" t="s">
        <v>71</v>
      </c>
      <c r="N17" s="54" t="s">
        <v>72</v>
      </c>
      <c r="O17" s="55" t="s">
        <v>73</v>
      </c>
      <c r="P17" s="56" t="s">
        <v>74</v>
      </c>
    </row>
    <row r="18" spans="1:16" ht="12.75" customHeight="1" thickBot="1" x14ac:dyDescent="0.25">
      <c r="A18" s="10" t="str">
        <f t="shared" si="0"/>
        <v>IBVS 4610 </v>
      </c>
      <c r="B18" s="3" t="str">
        <f t="shared" si="1"/>
        <v>II</v>
      </c>
      <c r="C18" s="10">
        <f t="shared" si="2"/>
        <v>50992.913399999998</v>
      </c>
      <c r="D18" s="12" t="str">
        <f t="shared" si="3"/>
        <v>vis</v>
      </c>
      <c r="E18" s="52">
        <f>VLOOKUP(C18,Active!C$21:E$973,3,FALSE)</f>
        <v>57.48836182280921</v>
      </c>
      <c r="F18" s="3" t="s">
        <v>66</v>
      </c>
      <c r="G18" s="12" t="str">
        <f t="shared" si="4"/>
        <v>50992.9134</v>
      </c>
      <c r="H18" s="10">
        <f t="shared" si="5"/>
        <v>-5621.5</v>
      </c>
      <c r="I18" s="53" t="s">
        <v>92</v>
      </c>
      <c r="J18" s="54" t="s">
        <v>93</v>
      </c>
      <c r="K18" s="53">
        <v>-5621.5</v>
      </c>
      <c r="L18" s="53" t="s">
        <v>94</v>
      </c>
      <c r="M18" s="54" t="s">
        <v>71</v>
      </c>
      <c r="N18" s="54" t="s">
        <v>72</v>
      </c>
      <c r="O18" s="55" t="s">
        <v>73</v>
      </c>
      <c r="P18" s="56" t="s">
        <v>74</v>
      </c>
    </row>
    <row r="19" spans="1:16" ht="12.75" customHeight="1" thickBot="1" x14ac:dyDescent="0.25">
      <c r="A19" s="10" t="str">
        <f t="shared" si="0"/>
        <v>IBVS 4610 </v>
      </c>
      <c r="B19" s="3" t="str">
        <f t="shared" si="1"/>
        <v>I</v>
      </c>
      <c r="C19" s="10">
        <f t="shared" si="2"/>
        <v>50993.852800000001</v>
      </c>
      <c r="D19" s="12" t="str">
        <f t="shared" si="3"/>
        <v>vis</v>
      </c>
      <c r="E19" s="52">
        <f>VLOOKUP(C19,Active!C$21:E$973,3,FALSE)</f>
        <v>60.992216846622426</v>
      </c>
      <c r="F19" s="3" t="s">
        <v>66</v>
      </c>
      <c r="G19" s="12" t="str">
        <f t="shared" si="4"/>
        <v>50993.8528</v>
      </c>
      <c r="H19" s="10">
        <f t="shared" si="5"/>
        <v>-5618</v>
      </c>
      <c r="I19" s="53" t="s">
        <v>95</v>
      </c>
      <c r="J19" s="54" t="s">
        <v>96</v>
      </c>
      <c r="K19" s="53">
        <v>-5618</v>
      </c>
      <c r="L19" s="53" t="s">
        <v>97</v>
      </c>
      <c r="M19" s="54" t="s">
        <v>71</v>
      </c>
      <c r="N19" s="54" t="s">
        <v>72</v>
      </c>
      <c r="O19" s="55" t="s">
        <v>73</v>
      </c>
      <c r="P19" s="56" t="s">
        <v>74</v>
      </c>
    </row>
    <row r="20" spans="1:16" ht="12.75" customHeight="1" thickBot="1" x14ac:dyDescent="0.25">
      <c r="A20" s="10" t="str">
        <f t="shared" si="0"/>
        <v> BBS 129 </v>
      </c>
      <c r="B20" s="3" t="str">
        <f t="shared" si="1"/>
        <v>II</v>
      </c>
      <c r="C20" s="10">
        <f t="shared" si="2"/>
        <v>52721.385999999999</v>
      </c>
      <c r="D20" s="12" t="str">
        <f t="shared" si="3"/>
        <v>vis</v>
      </c>
      <c r="E20" s="52">
        <f>VLOOKUP(C20,Active!C$21:E$973,3,FALSE)</f>
        <v>6504.4943262837123</v>
      </c>
      <c r="F20" s="3" t="s">
        <v>66</v>
      </c>
      <c r="G20" s="12" t="str">
        <f t="shared" si="4"/>
        <v>52721.3860</v>
      </c>
      <c r="H20" s="10">
        <f t="shared" si="5"/>
        <v>825.5</v>
      </c>
      <c r="I20" s="53" t="s">
        <v>107</v>
      </c>
      <c r="J20" s="54" t="s">
        <v>108</v>
      </c>
      <c r="K20" s="53">
        <v>825.5</v>
      </c>
      <c r="L20" s="53" t="s">
        <v>109</v>
      </c>
      <c r="M20" s="54" t="s">
        <v>71</v>
      </c>
      <c r="N20" s="54" t="s">
        <v>72</v>
      </c>
      <c r="O20" s="55" t="s">
        <v>100</v>
      </c>
      <c r="P20" s="55" t="s">
        <v>110</v>
      </c>
    </row>
    <row r="21" spans="1:16" ht="12.75" customHeight="1" thickBot="1" x14ac:dyDescent="0.25">
      <c r="A21" s="10" t="str">
        <f t="shared" si="0"/>
        <v> BBS 129 </v>
      </c>
      <c r="B21" s="3" t="str">
        <f t="shared" si="1"/>
        <v>I</v>
      </c>
      <c r="C21" s="10">
        <f t="shared" si="2"/>
        <v>52721.5167</v>
      </c>
      <c r="D21" s="12" t="str">
        <f t="shared" si="3"/>
        <v>vis</v>
      </c>
      <c r="E21" s="52">
        <f>VLOOKUP(C21,Active!C$21:E$973,3,FALSE)</f>
        <v>6504.9818223999746</v>
      </c>
      <c r="F21" s="3" t="s">
        <v>66</v>
      </c>
      <c r="G21" s="12" t="str">
        <f t="shared" si="4"/>
        <v>52721.5167</v>
      </c>
      <c r="H21" s="10">
        <f t="shared" si="5"/>
        <v>826</v>
      </c>
      <c r="I21" s="53" t="s">
        <v>111</v>
      </c>
      <c r="J21" s="54" t="s">
        <v>112</v>
      </c>
      <c r="K21" s="53">
        <v>826</v>
      </c>
      <c r="L21" s="53" t="s">
        <v>113</v>
      </c>
      <c r="M21" s="54" t="s">
        <v>71</v>
      </c>
      <c r="N21" s="54" t="s">
        <v>72</v>
      </c>
      <c r="O21" s="55" t="s">
        <v>100</v>
      </c>
      <c r="P21" s="55" t="s">
        <v>110</v>
      </c>
    </row>
    <row r="22" spans="1:16" ht="12.75" customHeight="1" thickBot="1" x14ac:dyDescent="0.25">
      <c r="A22" s="10" t="str">
        <f t="shared" si="0"/>
        <v> BBS 130 </v>
      </c>
      <c r="B22" s="3" t="str">
        <f t="shared" si="1"/>
        <v>I</v>
      </c>
      <c r="C22" s="10">
        <f t="shared" si="2"/>
        <v>52831.440300000002</v>
      </c>
      <c r="D22" s="12" t="str">
        <f t="shared" si="3"/>
        <v>vis</v>
      </c>
      <c r="E22" s="52">
        <f>VLOOKUP(C22,Active!C$21:E$973,3,FALSE)</f>
        <v>6914.9843326133423</v>
      </c>
      <c r="F22" s="3" t="s">
        <v>66</v>
      </c>
      <c r="G22" s="12" t="str">
        <f t="shared" si="4"/>
        <v>52831.4403</v>
      </c>
      <c r="H22" s="10">
        <f t="shared" si="5"/>
        <v>1236</v>
      </c>
      <c r="I22" s="53" t="s">
        <v>114</v>
      </c>
      <c r="J22" s="54" t="s">
        <v>115</v>
      </c>
      <c r="K22" s="53">
        <v>1236</v>
      </c>
      <c r="L22" s="53" t="s">
        <v>116</v>
      </c>
      <c r="M22" s="54" t="s">
        <v>71</v>
      </c>
      <c r="N22" s="54" t="s">
        <v>72</v>
      </c>
      <c r="O22" s="55" t="s">
        <v>105</v>
      </c>
      <c r="P22" s="55" t="s">
        <v>117</v>
      </c>
    </row>
    <row r="23" spans="1:16" ht="12.75" customHeight="1" thickBot="1" x14ac:dyDescent="0.25">
      <c r="A23" s="10" t="str">
        <f t="shared" si="0"/>
        <v>IBVS 5894 </v>
      </c>
      <c r="B23" s="3" t="str">
        <f t="shared" si="1"/>
        <v>I</v>
      </c>
      <c r="C23" s="10">
        <f t="shared" si="2"/>
        <v>54952.833500000001</v>
      </c>
      <c r="D23" s="12" t="str">
        <f t="shared" si="3"/>
        <v>vis</v>
      </c>
      <c r="E23" s="52">
        <f>VLOOKUP(C23,Active!C$21:E$973,3,FALSE)</f>
        <v>14827.539390394868</v>
      </c>
      <c r="F23" s="3" t="s">
        <v>66</v>
      </c>
      <c r="G23" s="12" t="str">
        <f t="shared" si="4"/>
        <v>54952.8335</v>
      </c>
      <c r="H23" s="10">
        <f t="shared" si="5"/>
        <v>9149</v>
      </c>
      <c r="I23" s="53" t="s">
        <v>118</v>
      </c>
      <c r="J23" s="54" t="s">
        <v>119</v>
      </c>
      <c r="K23" s="53">
        <v>9149</v>
      </c>
      <c r="L23" s="53" t="s">
        <v>120</v>
      </c>
      <c r="M23" s="54" t="s">
        <v>121</v>
      </c>
      <c r="N23" s="54" t="s">
        <v>66</v>
      </c>
      <c r="O23" s="55" t="s">
        <v>100</v>
      </c>
      <c r="P23" s="56" t="s">
        <v>122</v>
      </c>
    </row>
    <row r="24" spans="1:16" ht="12.75" customHeight="1" thickBot="1" x14ac:dyDescent="0.25">
      <c r="A24" s="10" t="str">
        <f t="shared" si="0"/>
        <v>IBVS 5945 </v>
      </c>
      <c r="B24" s="3" t="str">
        <f t="shared" si="1"/>
        <v>I</v>
      </c>
      <c r="C24" s="10">
        <f t="shared" si="2"/>
        <v>55267.853999999999</v>
      </c>
      <c r="D24" s="12" t="str">
        <f t="shared" si="3"/>
        <v>vis</v>
      </c>
      <c r="E24" s="52">
        <f>VLOOKUP(C24,Active!C$21:E$973,3,FALSE)</f>
        <v>16002.529981757119</v>
      </c>
      <c r="F24" s="3" t="s">
        <v>66</v>
      </c>
      <c r="G24" s="12" t="str">
        <f t="shared" si="4"/>
        <v>55267.8540</v>
      </c>
      <c r="H24" s="10">
        <f t="shared" si="5"/>
        <v>10324</v>
      </c>
      <c r="I24" s="53" t="s">
        <v>123</v>
      </c>
      <c r="J24" s="54" t="s">
        <v>124</v>
      </c>
      <c r="K24" s="53">
        <v>10324</v>
      </c>
      <c r="L24" s="53" t="s">
        <v>125</v>
      </c>
      <c r="M24" s="54" t="s">
        <v>121</v>
      </c>
      <c r="N24" s="54" t="s">
        <v>66</v>
      </c>
      <c r="O24" s="55" t="s">
        <v>100</v>
      </c>
      <c r="P24" s="56" t="s">
        <v>126</v>
      </c>
    </row>
    <row r="25" spans="1:16" ht="12.75" customHeight="1" thickBot="1" x14ac:dyDescent="0.25">
      <c r="A25" s="10" t="str">
        <f t="shared" si="0"/>
        <v>BAVM 220 </v>
      </c>
      <c r="B25" s="3" t="str">
        <f t="shared" si="1"/>
        <v>I</v>
      </c>
      <c r="C25" s="10">
        <f t="shared" si="2"/>
        <v>55627.516000000003</v>
      </c>
      <c r="D25" s="12" t="str">
        <f t="shared" si="3"/>
        <v>vis</v>
      </c>
      <c r="E25" s="52">
        <f>VLOOKUP(C25,Active!C$21:E$973,3,FALSE)</f>
        <v>17344.028284472453</v>
      </c>
      <c r="F25" s="3" t="s">
        <v>66</v>
      </c>
      <c r="G25" s="12" t="str">
        <f t="shared" si="4"/>
        <v>55627.5160</v>
      </c>
      <c r="H25" s="10">
        <f t="shared" si="5"/>
        <v>11665</v>
      </c>
      <c r="I25" s="53" t="s">
        <v>127</v>
      </c>
      <c r="J25" s="54" t="s">
        <v>128</v>
      </c>
      <c r="K25" s="53">
        <v>11665</v>
      </c>
      <c r="L25" s="53" t="s">
        <v>129</v>
      </c>
      <c r="M25" s="54" t="s">
        <v>121</v>
      </c>
      <c r="N25" s="54" t="s">
        <v>130</v>
      </c>
      <c r="O25" s="55" t="s">
        <v>131</v>
      </c>
      <c r="P25" s="56" t="s">
        <v>132</v>
      </c>
    </row>
    <row r="26" spans="1:16" ht="12.75" customHeight="1" thickBot="1" x14ac:dyDescent="0.25">
      <c r="A26" s="10" t="str">
        <f t="shared" si="0"/>
        <v>BAVM 220 </v>
      </c>
      <c r="B26" s="3" t="str">
        <f t="shared" si="1"/>
        <v>I</v>
      </c>
      <c r="C26" s="10">
        <f t="shared" si="2"/>
        <v>55627.647700000001</v>
      </c>
      <c r="D26" s="12" t="str">
        <f t="shared" si="3"/>
        <v>vis</v>
      </c>
      <c r="E26" s="52">
        <f>VLOOKUP(C26,Active!C$21:E$973,3,FALSE)</f>
        <v>17344.519510474824</v>
      </c>
      <c r="F26" s="3" t="s">
        <v>66</v>
      </c>
      <c r="G26" s="12" t="str">
        <f t="shared" si="4"/>
        <v>55627.6477</v>
      </c>
      <c r="H26" s="10">
        <f t="shared" si="5"/>
        <v>11666</v>
      </c>
      <c r="I26" s="53" t="s">
        <v>133</v>
      </c>
      <c r="J26" s="54" t="s">
        <v>134</v>
      </c>
      <c r="K26" s="53" t="s">
        <v>135</v>
      </c>
      <c r="L26" s="53" t="s">
        <v>136</v>
      </c>
      <c r="M26" s="54" t="s">
        <v>121</v>
      </c>
      <c r="N26" s="54" t="s">
        <v>130</v>
      </c>
      <c r="O26" s="55" t="s">
        <v>131</v>
      </c>
      <c r="P26" s="56" t="s">
        <v>132</v>
      </c>
    </row>
    <row r="27" spans="1:16" ht="12.75" customHeight="1" thickBot="1" x14ac:dyDescent="0.25">
      <c r="A27" s="10" t="str">
        <f t="shared" si="0"/>
        <v>IBVS 5992 </v>
      </c>
      <c r="B27" s="3" t="str">
        <f t="shared" si="1"/>
        <v>I</v>
      </c>
      <c r="C27" s="10">
        <f t="shared" si="2"/>
        <v>55647.892599999999</v>
      </c>
      <c r="D27" s="12" t="str">
        <f t="shared" si="3"/>
        <v>vis</v>
      </c>
      <c r="E27" s="52">
        <f>VLOOKUP(C27,Active!C$21:E$973,3,FALSE)</f>
        <v>17420.030682043238</v>
      </c>
      <c r="F27" s="3" t="s">
        <v>66</v>
      </c>
      <c r="G27" s="12" t="str">
        <f t="shared" si="4"/>
        <v>55647.8926</v>
      </c>
      <c r="H27" s="10">
        <f t="shared" si="5"/>
        <v>11741</v>
      </c>
      <c r="I27" s="53" t="s">
        <v>137</v>
      </c>
      <c r="J27" s="54" t="s">
        <v>138</v>
      </c>
      <c r="K27" s="53" t="s">
        <v>139</v>
      </c>
      <c r="L27" s="53" t="s">
        <v>140</v>
      </c>
      <c r="M27" s="54" t="s">
        <v>121</v>
      </c>
      <c r="N27" s="54" t="s">
        <v>66</v>
      </c>
      <c r="O27" s="55" t="s">
        <v>100</v>
      </c>
      <c r="P27" s="56" t="s">
        <v>141</v>
      </c>
    </row>
    <row r="28" spans="1:16" ht="12.75" customHeight="1" thickBot="1" x14ac:dyDescent="0.25">
      <c r="A28" s="10" t="str">
        <f t="shared" si="0"/>
        <v>IBVS 6029 </v>
      </c>
      <c r="B28" s="3" t="str">
        <f t="shared" si="1"/>
        <v>I</v>
      </c>
      <c r="C28" s="10">
        <f t="shared" si="2"/>
        <v>56030.883600000001</v>
      </c>
      <c r="D28" s="12" t="str">
        <f t="shared" si="3"/>
        <v>vis</v>
      </c>
      <c r="E28" s="52">
        <f>VLOOKUP(C28,Active!C$21:E$973,3,FALSE)</f>
        <v>18848.543498118459</v>
      </c>
      <c r="F28" s="3" t="s">
        <v>66</v>
      </c>
      <c r="G28" s="12" t="str">
        <f t="shared" si="4"/>
        <v>56030.8836</v>
      </c>
      <c r="H28" s="10">
        <f t="shared" si="5"/>
        <v>13170</v>
      </c>
      <c r="I28" s="53" t="s">
        <v>142</v>
      </c>
      <c r="J28" s="54" t="s">
        <v>143</v>
      </c>
      <c r="K28" s="53" t="s">
        <v>144</v>
      </c>
      <c r="L28" s="53" t="s">
        <v>145</v>
      </c>
      <c r="M28" s="54" t="s">
        <v>121</v>
      </c>
      <c r="N28" s="54" t="s">
        <v>66</v>
      </c>
      <c r="O28" s="55" t="s">
        <v>100</v>
      </c>
      <c r="P28" s="56" t="s">
        <v>146</v>
      </c>
    </row>
    <row r="29" spans="1:16" ht="12.75" customHeight="1" thickBot="1" x14ac:dyDescent="0.25">
      <c r="A29" s="10" t="str">
        <f t="shared" si="0"/>
        <v> BBS 125 </v>
      </c>
      <c r="B29" s="3" t="str">
        <f t="shared" si="1"/>
        <v>I</v>
      </c>
      <c r="C29" s="10">
        <f t="shared" si="2"/>
        <v>52049.385799999996</v>
      </c>
      <c r="D29" s="12" t="str">
        <f t="shared" si="3"/>
        <v>vis</v>
      </c>
      <c r="E29" s="52">
        <f>VLOOKUP(C29,Active!C$21:E$973,3,FALSE)</f>
        <v>3998.0101057534412</v>
      </c>
      <c r="F29" s="3" t="s">
        <v>66</v>
      </c>
      <c r="G29" s="12" t="str">
        <f t="shared" si="4"/>
        <v>52049.3858</v>
      </c>
      <c r="H29" s="10">
        <f t="shared" si="5"/>
        <v>-1681</v>
      </c>
      <c r="I29" s="53" t="s">
        <v>98</v>
      </c>
      <c r="J29" s="54" t="s">
        <v>99</v>
      </c>
      <c r="K29" s="53">
        <v>-1681</v>
      </c>
      <c r="L29" s="53" t="s">
        <v>77</v>
      </c>
      <c r="M29" s="54" t="s">
        <v>71</v>
      </c>
      <c r="N29" s="54" t="s">
        <v>72</v>
      </c>
      <c r="O29" s="55" t="s">
        <v>100</v>
      </c>
      <c r="P29" s="55" t="s">
        <v>101</v>
      </c>
    </row>
    <row r="30" spans="1:16" ht="12.75" customHeight="1" thickBot="1" x14ac:dyDescent="0.25">
      <c r="A30" s="10" t="str">
        <f t="shared" si="0"/>
        <v> BBS 128 </v>
      </c>
      <c r="B30" s="3" t="str">
        <f t="shared" si="1"/>
        <v>I</v>
      </c>
      <c r="C30" s="10">
        <f t="shared" si="2"/>
        <v>52360.652600000001</v>
      </c>
      <c r="D30" s="12" t="str">
        <f t="shared" si="3"/>
        <v>vis</v>
      </c>
      <c r="E30" s="52">
        <f>VLOOKUP(C30,Active!C$21:E$973,3,FALSE)</f>
        <v>5158.9998235763842</v>
      </c>
      <c r="F30" s="3" t="s">
        <v>66</v>
      </c>
      <c r="G30" s="12" t="str">
        <f t="shared" si="4"/>
        <v>52360.6526</v>
      </c>
      <c r="H30" s="10">
        <f t="shared" si="5"/>
        <v>-520</v>
      </c>
      <c r="I30" s="53" t="s">
        <v>102</v>
      </c>
      <c r="J30" s="54" t="s">
        <v>103</v>
      </c>
      <c r="K30" s="53">
        <v>-520</v>
      </c>
      <c r="L30" s="53" t="s">
        <v>104</v>
      </c>
      <c r="M30" s="54" t="s">
        <v>71</v>
      </c>
      <c r="N30" s="54" t="s">
        <v>72</v>
      </c>
      <c r="O30" s="55" t="s">
        <v>105</v>
      </c>
      <c r="P30" s="55" t="s">
        <v>106</v>
      </c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</sheetData>
  <phoneticPr fontId="8" type="noConversion"/>
  <hyperlinks>
    <hyperlink ref="P11" r:id="rId1" display="http://www.konkoly.hu/cgi-bin/IBVS?4610" xr:uid="{00000000-0004-0000-0100-000000000000}"/>
    <hyperlink ref="P12" r:id="rId2" display="http://www.konkoly.hu/cgi-bin/IBVS?4610" xr:uid="{00000000-0004-0000-0100-000001000000}"/>
    <hyperlink ref="P13" r:id="rId3" display="http://www.konkoly.hu/cgi-bin/IBVS?4610" xr:uid="{00000000-0004-0000-0100-000002000000}"/>
    <hyperlink ref="P14" r:id="rId4" display="http://www.konkoly.hu/cgi-bin/IBVS?4610" xr:uid="{00000000-0004-0000-0100-000003000000}"/>
    <hyperlink ref="P15" r:id="rId5" display="http://www.konkoly.hu/cgi-bin/IBVS?4610" xr:uid="{00000000-0004-0000-0100-000004000000}"/>
    <hyperlink ref="P16" r:id="rId6" display="http://www.konkoly.hu/cgi-bin/IBVS?4610" xr:uid="{00000000-0004-0000-0100-000005000000}"/>
    <hyperlink ref="P17" r:id="rId7" display="http://www.konkoly.hu/cgi-bin/IBVS?4610" xr:uid="{00000000-0004-0000-0100-000006000000}"/>
    <hyperlink ref="P18" r:id="rId8" display="http://www.konkoly.hu/cgi-bin/IBVS?4610" xr:uid="{00000000-0004-0000-0100-000007000000}"/>
    <hyperlink ref="P19" r:id="rId9" display="http://www.konkoly.hu/cgi-bin/IBVS?4610" xr:uid="{00000000-0004-0000-0100-000008000000}"/>
    <hyperlink ref="P23" r:id="rId10" display="http://www.konkoly.hu/cgi-bin/IBVS?5894" xr:uid="{00000000-0004-0000-0100-000009000000}"/>
    <hyperlink ref="P24" r:id="rId11" display="http://www.konkoly.hu/cgi-bin/IBVS?5945" xr:uid="{00000000-0004-0000-0100-00000A000000}"/>
    <hyperlink ref="P25" r:id="rId12" display="http://www.bav-astro.de/sfs/BAVM_link.php?BAVMnr=220" xr:uid="{00000000-0004-0000-0100-00000B000000}"/>
    <hyperlink ref="P26" r:id="rId13" display="http://www.bav-astro.de/sfs/BAVM_link.php?BAVMnr=220" xr:uid="{00000000-0004-0000-0100-00000C000000}"/>
    <hyperlink ref="P27" r:id="rId14" display="http://www.konkoly.hu/cgi-bin/IBVS?5992" xr:uid="{00000000-0004-0000-0100-00000D000000}"/>
    <hyperlink ref="P28" r:id="rId15" display="http://www.konkoly.hu/cgi-bin/IBVS?6029" xr:uid="{00000000-0004-0000-0100-00000E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923"/>
  <sheetViews>
    <sheetView workbookViewId="0">
      <selection activeCell="E19" sqref="E1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41</v>
      </c>
      <c r="F1" s="3">
        <v>52500.065999999999</v>
      </c>
      <c r="G1" s="3">
        <v>0.26810469999999997</v>
      </c>
      <c r="H1" s="3" t="s">
        <v>42</v>
      </c>
    </row>
    <row r="2" spans="1:8" x14ac:dyDescent="0.2">
      <c r="A2" t="s">
        <v>23</v>
      </c>
      <c r="B2" t="s">
        <v>42</v>
      </c>
      <c r="C2" s="3"/>
      <c r="D2" s="3"/>
    </row>
    <row r="3" spans="1:8" ht="13.5" thickBot="1" x14ac:dyDescent="0.25"/>
    <row r="4" spans="1:8" ht="14.25" thickTop="1" thickBot="1" x14ac:dyDescent="0.25">
      <c r="A4" s="5" t="s">
        <v>40</v>
      </c>
      <c r="C4" s="8">
        <v>52500.065999999999</v>
      </c>
      <c r="D4" s="9">
        <v>0.26810469999999997</v>
      </c>
    </row>
    <row r="5" spans="1:8" x14ac:dyDescent="0.2">
      <c r="C5" s="31" t="s">
        <v>38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52500.065999999999</v>
      </c>
      <c r="D7" s="30" t="s">
        <v>48</v>
      </c>
    </row>
    <row r="8" spans="1:8" x14ac:dyDescent="0.2">
      <c r="A8" t="s">
        <v>2</v>
      </c>
      <c r="C8">
        <f>D4</f>
        <v>0.26810469999999997</v>
      </c>
      <c r="D8" s="30" t="s">
        <v>49</v>
      </c>
    </row>
    <row r="9" spans="1:8" x14ac:dyDescent="0.2">
      <c r="A9" s="11" t="s">
        <v>30</v>
      </c>
      <c r="B9" s="12"/>
      <c r="C9" s="13">
        <v>7</v>
      </c>
      <c r="D9" s="12" t="s">
        <v>31</v>
      </c>
      <c r="E9" s="12"/>
    </row>
    <row r="10" spans="1:8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8" x14ac:dyDescent="0.2">
      <c r="A11" s="12" t="s">
        <v>14</v>
      </c>
      <c r="B11" s="12"/>
      <c r="C11" s="24">
        <f ca="1">INTERCEPT(INDIRECT($G$11):G975,INDIRECT($F$11):F975)</f>
        <v>2.2975033632737077E-2</v>
      </c>
      <c r="D11" s="3"/>
      <c r="E11" s="12"/>
      <c r="F11" s="25" t="str">
        <f>"F"&amp;E19</f>
        <v>F34</v>
      </c>
      <c r="G11" s="26" t="str">
        <f>"G"&amp;E19</f>
        <v>G34</v>
      </c>
    </row>
    <row r="12" spans="1:8" x14ac:dyDescent="0.2">
      <c r="A12" s="12" t="s">
        <v>15</v>
      </c>
      <c r="B12" s="12"/>
      <c r="C12" s="24">
        <f ca="1">SLOPE(INDIRECT($G$11):G975,INDIRECT($F$11):F975)</f>
        <v>-1.2793388424085473E-6</v>
      </c>
      <c r="D12" s="3"/>
      <c r="E12" s="12"/>
    </row>
    <row r="13" spans="1:8" x14ac:dyDescent="0.2">
      <c r="A13" s="12" t="s">
        <v>18</v>
      </c>
      <c r="B13" s="12"/>
      <c r="C13" s="3" t="s">
        <v>12</v>
      </c>
      <c r="D13" s="3"/>
      <c r="E13" s="12"/>
    </row>
    <row r="14" spans="1:8" x14ac:dyDescent="0.2">
      <c r="A14" s="12"/>
      <c r="B14" s="12"/>
      <c r="C14" s="12"/>
      <c r="D14" s="12"/>
      <c r="E14" s="12"/>
    </row>
    <row r="15" spans="1:8" x14ac:dyDescent="0.2">
      <c r="A15" s="14" t="s">
        <v>16</v>
      </c>
      <c r="B15" s="12"/>
      <c r="C15" s="15">
        <f ca="1">(C7+C11)+(C8+C12)*INT(MAX(F21:F3516))</f>
        <v>55647.89123701628</v>
      </c>
      <c r="D15" s="16" t="s">
        <v>32</v>
      </c>
      <c r="E15" s="17">
        <f ca="1">TODAY()+15018.5-B9/24</f>
        <v>60527.5</v>
      </c>
    </row>
    <row r="16" spans="1:8" x14ac:dyDescent="0.2">
      <c r="A16" s="18" t="s">
        <v>3</v>
      </c>
      <c r="B16" s="12"/>
      <c r="C16" s="19">
        <f ca="1">+C8+C12</f>
        <v>0.26810342066115755</v>
      </c>
      <c r="D16" s="16" t="s">
        <v>33</v>
      </c>
      <c r="E16" s="17">
        <f ca="1">ROUND(2*(E15-C15)/C16,0)/2+1</f>
        <v>18201.5</v>
      </c>
    </row>
    <row r="17" spans="1:17" ht="13.5" thickBot="1" x14ac:dyDescent="0.25">
      <c r="A17" s="16" t="s">
        <v>29</v>
      </c>
      <c r="B17" s="12"/>
      <c r="C17" s="12">
        <f>COUNT(C21:C2174)</f>
        <v>18</v>
      </c>
      <c r="D17" s="16" t="s">
        <v>34</v>
      </c>
      <c r="E17" s="20">
        <f ca="1">+C15+C16*E16-15018.5-C9/24</f>
        <v>45508.983981513673</v>
      </c>
    </row>
    <row r="18" spans="1:17" ht="14.25" thickTop="1" thickBot="1" x14ac:dyDescent="0.25">
      <c r="A18" s="18" t="s">
        <v>4</v>
      </c>
      <c r="B18" s="12"/>
      <c r="C18" s="21">
        <f ca="1">+C15</f>
        <v>55647.89123701628</v>
      </c>
      <c r="D18" s="22">
        <f ca="1">+C16</f>
        <v>0.26810342066115755</v>
      </c>
      <c r="E18" s="23" t="s">
        <v>35</v>
      </c>
    </row>
    <row r="19" spans="1:17" ht="13.5" thickTop="1" x14ac:dyDescent="0.2">
      <c r="A19" s="27" t="s">
        <v>36</v>
      </c>
      <c r="E19" s="28">
        <v>34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39</v>
      </c>
      <c r="I20" s="7" t="s">
        <v>28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x14ac:dyDescent="0.2">
      <c r="A21" s="39" t="s">
        <v>50</v>
      </c>
      <c r="B21" s="40" t="s">
        <v>51</v>
      </c>
      <c r="C21" s="39">
        <v>50977.770100000002</v>
      </c>
      <c r="D21" s="39" t="s">
        <v>52</v>
      </c>
      <c r="E21" s="36">
        <f t="shared" ref="E21:E38" si="0">+(C21-C$7)/C$8</f>
        <v>-5677.9903522765453</v>
      </c>
      <c r="F21">
        <f t="shared" ref="F21:F38" si="1">ROUND(2*E21,0)/2</f>
        <v>-5678</v>
      </c>
      <c r="G21">
        <f t="shared" ref="G21:G38" si="2">+C21-(C$7+F21*C$8)</f>
        <v>2.5865999996312894E-3</v>
      </c>
      <c r="I21">
        <f t="shared" ref="I21:I29" si="3">+G21</f>
        <v>2.5865999996312894E-3</v>
      </c>
      <c r="O21">
        <f t="shared" ref="O21:O38" ca="1" si="4">+C$11+C$12*$F21</f>
        <v>3.0239119579932808E-2</v>
      </c>
      <c r="Q21" s="2">
        <f t="shared" ref="Q21:Q38" si="5">+C21-15018.5</f>
        <v>35959.270100000002</v>
      </c>
    </row>
    <row r="22" spans="1:17" x14ac:dyDescent="0.2">
      <c r="A22" s="39" t="s">
        <v>50</v>
      </c>
      <c r="B22" s="40" t="s">
        <v>51</v>
      </c>
      <c r="C22" s="39">
        <v>50977.903299999998</v>
      </c>
      <c r="D22" s="39" t="s">
        <v>52</v>
      </c>
      <c r="E22" s="36">
        <f t="shared" si="0"/>
        <v>-5677.4935314449949</v>
      </c>
      <c r="F22">
        <f t="shared" si="1"/>
        <v>-5677.5</v>
      </c>
      <c r="G22">
        <f t="shared" si="2"/>
        <v>1.7342499995720573E-3</v>
      </c>
      <c r="I22">
        <f t="shared" si="3"/>
        <v>1.7342499995720573E-3</v>
      </c>
      <c r="O22">
        <f t="shared" ca="1" si="4"/>
        <v>3.0238479910511602E-2</v>
      </c>
      <c r="Q22" s="2">
        <f t="shared" si="5"/>
        <v>35959.403299999998</v>
      </c>
    </row>
    <row r="23" spans="1:17" x14ac:dyDescent="0.2">
      <c r="A23" s="39" t="s">
        <v>50</v>
      </c>
      <c r="B23" s="40" t="s">
        <v>51</v>
      </c>
      <c r="C23" s="39">
        <v>50981.788200000003</v>
      </c>
      <c r="D23" s="39" t="s">
        <v>52</v>
      </c>
      <c r="E23" s="36">
        <f t="shared" si="0"/>
        <v>-5663.0032968463302</v>
      </c>
      <c r="F23">
        <f t="shared" si="1"/>
        <v>-5663</v>
      </c>
      <c r="G23">
        <f t="shared" si="2"/>
        <v>-8.8389999291393906E-4</v>
      </c>
      <c r="I23">
        <f t="shared" si="3"/>
        <v>-8.8389999291393906E-4</v>
      </c>
      <c r="O23">
        <f t="shared" ca="1" si="4"/>
        <v>3.0219929497296683E-2</v>
      </c>
      <c r="Q23" s="2">
        <f t="shared" si="5"/>
        <v>35963.288200000003</v>
      </c>
    </row>
    <row r="24" spans="1:17" x14ac:dyDescent="0.2">
      <c r="A24" s="39" t="s">
        <v>50</v>
      </c>
      <c r="B24" s="40" t="s">
        <v>51</v>
      </c>
      <c r="C24" s="39">
        <v>50984.870499999997</v>
      </c>
      <c r="D24" s="39" t="s">
        <v>52</v>
      </c>
      <c r="E24" s="36">
        <f t="shared" si="0"/>
        <v>-5651.5066688499001</v>
      </c>
      <c r="F24">
        <f t="shared" si="1"/>
        <v>-5651.5</v>
      </c>
      <c r="G24">
        <f t="shared" si="2"/>
        <v>-1.7879500010167249E-3</v>
      </c>
      <c r="I24">
        <f t="shared" si="3"/>
        <v>-1.7879500010167249E-3</v>
      </c>
      <c r="O24">
        <f t="shared" ca="1" si="4"/>
        <v>3.0205217100608982E-2</v>
      </c>
      <c r="Q24" s="2">
        <f t="shared" si="5"/>
        <v>35966.370499999997</v>
      </c>
    </row>
    <row r="25" spans="1:17" x14ac:dyDescent="0.2">
      <c r="A25" s="39" t="s">
        <v>50</v>
      </c>
      <c r="B25" s="40" t="s">
        <v>51</v>
      </c>
      <c r="C25" s="39">
        <v>50985.942499999997</v>
      </c>
      <c r="D25" s="39" t="s">
        <v>52</v>
      </c>
      <c r="E25" s="36">
        <f t="shared" si="0"/>
        <v>-5647.5082309262079</v>
      </c>
      <c r="F25">
        <f t="shared" si="1"/>
        <v>-5647.5</v>
      </c>
      <c r="G25">
        <f t="shared" si="2"/>
        <v>-2.2067500030971132E-3</v>
      </c>
      <c r="I25">
        <f t="shared" si="3"/>
        <v>-2.2067500030971132E-3</v>
      </c>
      <c r="O25">
        <f t="shared" ca="1" si="4"/>
        <v>3.0200099745239347E-2</v>
      </c>
      <c r="Q25" s="2">
        <f t="shared" si="5"/>
        <v>35967.442499999997</v>
      </c>
    </row>
    <row r="26" spans="1:17" x14ac:dyDescent="0.2">
      <c r="A26" s="39" t="s">
        <v>50</v>
      </c>
      <c r="B26" s="40" t="s">
        <v>51</v>
      </c>
      <c r="C26" s="39">
        <v>50986.882599999997</v>
      </c>
      <c r="D26" s="39" t="s">
        <v>52</v>
      </c>
      <c r="E26" s="36">
        <f t="shared" si="0"/>
        <v>-5644.0017649821202</v>
      </c>
      <c r="F26">
        <f t="shared" si="1"/>
        <v>-5644</v>
      </c>
      <c r="G26">
        <f t="shared" si="2"/>
        <v>-4.7320000157924369E-4</v>
      </c>
      <c r="I26">
        <f t="shared" si="3"/>
        <v>-4.7320000157924369E-4</v>
      </c>
      <c r="O26">
        <f t="shared" ca="1" si="4"/>
        <v>3.0195622059290918E-2</v>
      </c>
      <c r="Q26" s="2">
        <f t="shared" si="5"/>
        <v>35968.382599999997</v>
      </c>
    </row>
    <row r="27" spans="1:17" x14ac:dyDescent="0.2">
      <c r="A27" s="39" t="s">
        <v>50</v>
      </c>
      <c r="B27" s="40" t="s">
        <v>51</v>
      </c>
      <c r="C27" s="39">
        <v>50992.779600000002</v>
      </c>
      <c r="D27" s="39" t="s">
        <v>52</v>
      </c>
      <c r="E27" s="36">
        <f t="shared" si="0"/>
        <v>-5622.0066265156756</v>
      </c>
      <c r="F27">
        <f t="shared" si="1"/>
        <v>-5622</v>
      </c>
      <c r="G27">
        <f t="shared" si="2"/>
        <v>-1.7765999946277589E-3</v>
      </c>
      <c r="I27">
        <f t="shared" si="3"/>
        <v>-1.7765999946277589E-3</v>
      </c>
      <c r="O27">
        <f t="shared" ca="1" si="4"/>
        <v>3.016747660475793E-2</v>
      </c>
      <c r="Q27" s="2">
        <f t="shared" si="5"/>
        <v>35974.279600000002</v>
      </c>
    </row>
    <row r="28" spans="1:17" x14ac:dyDescent="0.2">
      <c r="A28" s="39" t="s">
        <v>50</v>
      </c>
      <c r="B28" s="40" t="s">
        <v>51</v>
      </c>
      <c r="C28" s="39">
        <v>50992.913399999998</v>
      </c>
      <c r="D28" s="39" t="s">
        <v>52</v>
      </c>
      <c r="E28" s="36">
        <f t="shared" si="0"/>
        <v>-5621.5075677524546</v>
      </c>
      <c r="F28">
        <f t="shared" si="1"/>
        <v>-5621.5</v>
      </c>
      <c r="G28">
        <f t="shared" si="2"/>
        <v>-2.0289500025683083E-3</v>
      </c>
      <c r="I28">
        <f t="shared" si="3"/>
        <v>-2.0289500025683083E-3</v>
      </c>
      <c r="O28">
        <f t="shared" ca="1" si="4"/>
        <v>3.0166836935336727E-2</v>
      </c>
      <c r="Q28" s="2">
        <f t="shared" si="5"/>
        <v>35974.413399999998</v>
      </c>
    </row>
    <row r="29" spans="1:17" x14ac:dyDescent="0.2">
      <c r="A29" s="39" t="s">
        <v>50</v>
      </c>
      <c r="B29" s="40" t="s">
        <v>51</v>
      </c>
      <c r="C29" s="39">
        <v>50993.852800000001</v>
      </c>
      <c r="D29" s="39" t="s">
        <v>52</v>
      </c>
      <c r="E29" s="36">
        <f t="shared" si="0"/>
        <v>-5618.0037127286414</v>
      </c>
      <c r="F29">
        <f t="shared" si="1"/>
        <v>-5618</v>
      </c>
      <c r="G29">
        <f t="shared" si="2"/>
        <v>-9.9539999791886657E-4</v>
      </c>
      <c r="I29">
        <f t="shared" si="3"/>
        <v>-9.9539999791886657E-4</v>
      </c>
      <c r="O29">
        <f t="shared" ca="1" si="4"/>
        <v>3.0162359249388294E-2</v>
      </c>
      <c r="Q29" s="2">
        <f t="shared" si="5"/>
        <v>35975.352800000001</v>
      </c>
    </row>
    <row r="30" spans="1:17" x14ac:dyDescent="0.2">
      <c r="A30" s="33" t="s">
        <v>39</v>
      </c>
      <c r="B30" s="32" t="s">
        <v>37</v>
      </c>
      <c r="C30" s="33">
        <v>52500.065999999999</v>
      </c>
      <c r="D30" s="29"/>
      <c r="E30">
        <f t="shared" si="0"/>
        <v>0</v>
      </c>
      <c r="F30">
        <f t="shared" si="1"/>
        <v>0</v>
      </c>
      <c r="G30">
        <f t="shared" si="2"/>
        <v>0</v>
      </c>
      <c r="H30">
        <f>+G30</f>
        <v>0</v>
      </c>
      <c r="O30">
        <f t="shared" ca="1" si="4"/>
        <v>2.2975033632737077E-2</v>
      </c>
      <c r="Q30" s="2">
        <f t="shared" si="5"/>
        <v>37481.565999999999</v>
      </c>
    </row>
    <row r="31" spans="1:17" x14ac:dyDescent="0.2">
      <c r="A31" s="33" t="s">
        <v>43</v>
      </c>
      <c r="B31" s="32" t="s">
        <v>44</v>
      </c>
      <c r="C31" s="33">
        <v>52721.385999999999</v>
      </c>
      <c r="D31" s="33">
        <v>5.9999999999999995E-4</v>
      </c>
      <c r="E31" s="36">
        <f t="shared" si="0"/>
        <v>825.49839670844904</v>
      </c>
      <c r="F31">
        <f t="shared" si="1"/>
        <v>825.5</v>
      </c>
      <c r="G31">
        <f t="shared" si="2"/>
        <v>-4.2984999890904874E-4</v>
      </c>
      <c r="I31">
        <f t="shared" ref="I31:I38" si="6">+G31</f>
        <v>-4.2984999890904874E-4</v>
      </c>
      <c r="O31">
        <f t="shared" ca="1" si="4"/>
        <v>2.1918939418328821E-2</v>
      </c>
      <c r="Q31" s="2">
        <f t="shared" si="5"/>
        <v>37702.885999999999</v>
      </c>
    </row>
    <row r="32" spans="1:17" x14ac:dyDescent="0.2">
      <c r="A32" s="33" t="s">
        <v>43</v>
      </c>
      <c r="B32" s="32" t="s">
        <v>37</v>
      </c>
      <c r="C32" s="33">
        <v>52721.5167</v>
      </c>
      <c r="D32" s="33">
        <v>8.0000000000000004E-4</v>
      </c>
      <c r="E32" s="36">
        <f t="shared" si="0"/>
        <v>825.98589282471085</v>
      </c>
      <c r="F32">
        <f t="shared" si="1"/>
        <v>826</v>
      </c>
      <c r="G32">
        <f t="shared" si="2"/>
        <v>-3.7822000012965873E-3</v>
      </c>
      <c r="I32">
        <f t="shared" si="6"/>
        <v>-3.7822000012965873E-3</v>
      </c>
      <c r="O32">
        <f t="shared" ca="1" si="4"/>
        <v>2.1918299748907615E-2</v>
      </c>
      <c r="Q32" s="2">
        <f t="shared" si="5"/>
        <v>37703.0167</v>
      </c>
    </row>
    <row r="33" spans="1:17" x14ac:dyDescent="0.2">
      <c r="A33" s="35" t="s">
        <v>45</v>
      </c>
      <c r="B33" s="34" t="s">
        <v>37</v>
      </c>
      <c r="C33" s="35">
        <v>52831.440300000002</v>
      </c>
      <c r="D33" s="35">
        <v>5.9999999999999995E-4</v>
      </c>
      <c r="E33" s="36">
        <f t="shared" si="0"/>
        <v>1235.9884030380786</v>
      </c>
      <c r="F33">
        <f t="shared" si="1"/>
        <v>1236</v>
      </c>
      <c r="G33">
        <f t="shared" si="2"/>
        <v>-3.1091999990167096E-3</v>
      </c>
      <c r="I33">
        <f t="shared" si="6"/>
        <v>-3.1091999990167096E-3</v>
      </c>
      <c r="O33">
        <f t="shared" ca="1" si="4"/>
        <v>2.1393770823520113E-2</v>
      </c>
      <c r="Q33" s="2">
        <f t="shared" si="5"/>
        <v>37812.940300000002</v>
      </c>
    </row>
    <row r="34" spans="1:17" x14ac:dyDescent="0.2">
      <c r="A34" s="33" t="s">
        <v>46</v>
      </c>
      <c r="B34" s="32" t="s">
        <v>44</v>
      </c>
      <c r="C34" s="33">
        <v>54952.833500000001</v>
      </c>
      <c r="D34" s="33">
        <v>2.9999999999999997E-4</v>
      </c>
      <c r="E34" s="36">
        <f t="shared" si="0"/>
        <v>9148.5434608196047</v>
      </c>
      <c r="F34">
        <f t="shared" si="1"/>
        <v>9148.5</v>
      </c>
      <c r="G34">
        <f t="shared" si="2"/>
        <v>1.1652050001430325E-2</v>
      </c>
      <c r="I34">
        <f t="shared" si="6"/>
        <v>1.1652050001430325E-2</v>
      </c>
      <c r="O34">
        <f t="shared" ca="1" si="4"/>
        <v>1.1271002232962481E-2</v>
      </c>
      <c r="Q34" s="2">
        <f t="shared" si="5"/>
        <v>39934.333500000001</v>
      </c>
    </row>
    <row r="35" spans="1:17" x14ac:dyDescent="0.2">
      <c r="A35" s="37" t="s">
        <v>47</v>
      </c>
      <c r="B35" s="38" t="s">
        <v>44</v>
      </c>
      <c r="C35" s="37">
        <v>55267.853999999999</v>
      </c>
      <c r="D35" s="37">
        <v>2.0000000000000001E-4</v>
      </c>
      <c r="E35" s="36">
        <f t="shared" si="0"/>
        <v>10323.534052181856</v>
      </c>
      <c r="F35">
        <f t="shared" si="1"/>
        <v>10323.5</v>
      </c>
      <c r="G35">
        <f t="shared" si="2"/>
        <v>9.1295500023989007E-3</v>
      </c>
      <c r="I35">
        <f t="shared" si="6"/>
        <v>9.1295500023989007E-3</v>
      </c>
      <c r="O35">
        <f t="shared" ca="1" si="4"/>
        <v>9.7677790931324383E-3</v>
      </c>
      <c r="Q35" s="2">
        <f t="shared" si="5"/>
        <v>40249.353999999999</v>
      </c>
    </row>
    <row r="36" spans="1:17" x14ac:dyDescent="0.2">
      <c r="A36" s="39" t="s">
        <v>54</v>
      </c>
      <c r="B36" s="40" t="s">
        <v>37</v>
      </c>
      <c r="C36" s="39">
        <v>55627.516000000003</v>
      </c>
      <c r="D36" s="39" t="s">
        <v>55</v>
      </c>
      <c r="E36" s="36">
        <f t="shared" si="0"/>
        <v>11665.03235489719</v>
      </c>
      <c r="F36">
        <f t="shared" si="1"/>
        <v>11665</v>
      </c>
      <c r="G36">
        <f t="shared" si="2"/>
        <v>8.6745000080554746E-3</v>
      </c>
      <c r="I36">
        <f t="shared" si="6"/>
        <v>8.6745000080554746E-3</v>
      </c>
      <c r="O36">
        <f t="shared" ca="1" si="4"/>
        <v>8.0515460360413727E-3</v>
      </c>
      <c r="Q36" s="2">
        <f t="shared" si="5"/>
        <v>40609.016000000003</v>
      </c>
    </row>
    <row r="37" spans="1:17" x14ac:dyDescent="0.2">
      <c r="A37" s="39" t="s">
        <v>54</v>
      </c>
      <c r="B37" s="40" t="s">
        <v>37</v>
      </c>
      <c r="C37" s="39">
        <v>55627.647700000001</v>
      </c>
      <c r="D37" s="39" t="s">
        <v>56</v>
      </c>
      <c r="E37" s="36">
        <f t="shared" si="0"/>
        <v>11665.523580899562</v>
      </c>
      <c r="F37">
        <f t="shared" si="1"/>
        <v>11665.5</v>
      </c>
      <c r="G37">
        <f t="shared" si="2"/>
        <v>6.3221500022336841E-3</v>
      </c>
      <c r="I37">
        <f t="shared" si="6"/>
        <v>6.3221500022336841E-3</v>
      </c>
      <c r="O37">
        <f t="shared" ca="1" si="4"/>
        <v>8.0509063666201683E-3</v>
      </c>
      <c r="Q37" s="2">
        <f t="shared" si="5"/>
        <v>40609.147700000001</v>
      </c>
    </row>
    <row r="38" spans="1:17" x14ac:dyDescent="0.2">
      <c r="A38" s="39" t="s">
        <v>53</v>
      </c>
      <c r="B38" s="40" t="s">
        <v>37</v>
      </c>
      <c r="C38" s="39">
        <v>55647.892599999999</v>
      </c>
      <c r="D38" s="39">
        <v>2.9999999999999997E-4</v>
      </c>
      <c r="E38" s="36">
        <f t="shared" si="0"/>
        <v>11741.034752467975</v>
      </c>
      <c r="F38">
        <f t="shared" si="1"/>
        <v>11741</v>
      </c>
      <c r="G38">
        <f t="shared" si="2"/>
        <v>9.3172999986563809E-3</v>
      </c>
      <c r="I38">
        <f t="shared" si="6"/>
        <v>9.3172999986563809E-3</v>
      </c>
      <c r="O38">
        <f t="shared" ca="1" si="4"/>
        <v>7.9543162840183222E-3</v>
      </c>
      <c r="Q38" s="2">
        <f t="shared" si="5"/>
        <v>40629.392599999999</v>
      </c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2024-08-05T07:54:05Z</dcterms:modified>
</cp:coreProperties>
</file>