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E2C3C53-E0B3-4A17-A8F7-F9B12365EA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H26" i="1" s="1"/>
  <c r="Q26" i="1"/>
  <c r="F14" i="1"/>
  <c r="Q21" i="1"/>
  <c r="E21" i="1"/>
  <c r="F21" i="1" s="1"/>
  <c r="G21" i="1" s="1"/>
  <c r="I21" i="1" s="1"/>
  <c r="G11" i="1"/>
  <c r="F11" i="1"/>
  <c r="E22" i="1"/>
  <c r="F22" i="1" s="1"/>
  <c r="G22" i="1" s="1"/>
  <c r="I22" i="1" s="1"/>
  <c r="E23" i="1"/>
  <c r="F23" i="1" s="1"/>
  <c r="G23" i="1" s="1"/>
  <c r="I23" i="1" s="1"/>
  <c r="E24" i="1"/>
  <c r="F24" i="1" s="1"/>
  <c r="G24" i="1" s="1"/>
  <c r="I24" i="1" s="1"/>
  <c r="E25" i="1"/>
  <c r="F25" i="1" s="1"/>
  <c r="G25" i="1" s="1"/>
  <c r="I25" i="1" s="1"/>
  <c r="Q22" i="1"/>
  <c r="Q23" i="1"/>
  <c r="Q24" i="1"/>
  <c r="Q25" i="1"/>
  <c r="C17" i="1"/>
  <c r="C11" i="1"/>
  <c r="C12" i="1"/>
  <c r="O26" i="1" l="1"/>
  <c r="F15" i="1"/>
  <c r="C16" i="1"/>
  <c r="D18" i="1" s="1"/>
  <c r="C15" i="1"/>
  <c r="O21" i="1"/>
  <c r="O24" i="1"/>
  <c r="O23" i="1"/>
  <c r="O22" i="1"/>
  <c r="O25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<sst xmlns="http://schemas.openxmlformats.org/spreadsheetml/2006/main" count="65" uniqueCount="54">
  <si>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</si>
  <si>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</si>
  <si>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</si>
  <si>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</si>
  <si>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</si>
  <si>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</si>
  <si>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</si>
  <si>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</si>
  <si>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</si>
  <si>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</si>
  <si>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</si>
  <si>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</si>
  <si>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</si>
  <si>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</si>
  <si>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</si>
  <si>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</si>
  <si>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</si>
  <si>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</si>
  <si>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</si>
  <si>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</si>
  <si>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</si>
  <si>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</si>
  <si>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</si>
  <si>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</si>
  <si>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</si>
  <si>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</si>
  <si>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</si>
  <si>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</si>
  <si>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</si>
  <si>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</si>
  <si>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</si>
  <si>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</si>
  <si>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</si>
  <si>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</si>
  <si>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</si>
  <si>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</si>
  <si>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</si>
  <si>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</si>
  <si>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</si>
  <si>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G4169-0107</t>
  </si>
  <si>
    <t>VSX</t>
  </si>
  <si>
    <t>OEJV 0160</t>
  </si>
  <si>
    <t>I</t>
  </si>
  <si>
    <t>II</t>
  </si>
  <si>
    <t>Dra</t>
  </si>
  <si>
    <t>NSVS 2690221 / GSC 4169-0107</t>
  </si>
  <si>
    <t>CCD</t>
  </si>
  <si>
    <t>Next ToM-P</t>
  </si>
  <si>
    <t>Next ToM-S</t>
  </si>
  <si>
    <t>VSX 1</t>
  </si>
  <si>
    <t>VSX 2</t>
  </si>
  <si>
    <t xml:space="preserve">13.80 (0.50) </t>
  </si>
  <si>
    <t xml:space="preserve">Mag Rc </t>
  </si>
  <si>
    <t>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</si>
</sst>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2" borderId="5" xfId="0" applyFont="1" applyFill="1" applyBorder="1" applyAlignment="1">
      <alignment vertical="center"/>
    </xf>
    <xf numFmtId="0" fontId="0" fillId="0" borderId="0" xfId="0" applyAlignment="1">
      <alignment horizontal="right"/>
    </xf>
    <xf numFmtId="0" fontId="16" fillId="0" borderId="8" xfId="0" applyFont="1" applyBorder="1" applyAlignment="1">
      <alignment horizontal="right" vertical="center"/>
    </xf>
    <xf numFmtId="22" fontId="16" fillId="0" borderId="8" xfId="0" applyNumberFormat="1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  <xf numFmtId="0" fontId="15" fillId="3" borderId="6" xfId="0" applyFont="1" applyFill="1" applyBorder="1" applyAlignment="1">
      <alignment horizontal="right" vertical="center"/>
    </xf>
    <xf numFmtId="0" fontId="17" fillId="0" borderId="9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15" fillId="3" borderId="7" xfId="0" applyFont="1" applyFill="1" applyBorder="1" applyAlignment="1">
      <alignment horizontal="center" vertical="center"/>
    </xf>
    <xf numFmtId="22" fontId="17" fillId="0" borderId="9" xfId="0" applyNumberFormat="1" applyFont="1" applyBorder="1" applyAlignment="1">
      <alignment horizontal="right" vertical="center"/>
    </xf>
    <xf numFmtId="22" fontId="17" fillId="0" borderId="10" xfId="0" applyNumberFormat="1" applyFont="1" applyBorder="1" applyAlignment="1">
      <alignment horizontal="right" vertical="center"/>
    </xf>
    <xf numFmtId="0" fontId="15" fillId="0" borderId="0" xfId="0" applyFont="1" applyAlignment="1"/>
    <xf numFmtId="0" fontId="15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NSVS 2680221 -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-3598.5</c:v>
                </c:pt>
                <c:pt idx="1">
                  <c:v>-3546</c:v>
                </c:pt>
                <c:pt idx="2">
                  <c:v>-3363.5</c:v>
                </c:pt>
                <c:pt idx="3">
                  <c:v>-2294</c:v>
                </c:pt>
                <c:pt idx="4">
                  <c:v>-837</c:v>
                </c:pt>
                <c:pt idx="5">
                  <c:v>0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53-439B-8CE4-297D0363961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-3598.5</c:v>
                </c:pt>
                <c:pt idx="1">
                  <c:v>-3546</c:v>
                </c:pt>
                <c:pt idx="2">
                  <c:v>-3363.5</c:v>
                </c:pt>
                <c:pt idx="3">
                  <c:v>-2294</c:v>
                </c:pt>
                <c:pt idx="4">
                  <c:v>-837</c:v>
                </c:pt>
                <c:pt idx="5">
                  <c:v>0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1.1994999993476085E-2</c:v>
                </c:pt>
                <c:pt idx="1">
                  <c:v>1.4409999996132683E-2</c:v>
                </c:pt>
                <c:pt idx="2">
                  <c:v>1.3224999995145481E-2</c:v>
                </c:pt>
                <c:pt idx="3">
                  <c:v>1.0549999999057036E-2</c:v>
                </c:pt>
                <c:pt idx="4">
                  <c:v>5.7199999937438406E-3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53-439B-8CE4-297D0363961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-3598.5</c:v>
                </c:pt>
                <c:pt idx="1">
                  <c:v>-3546</c:v>
                </c:pt>
                <c:pt idx="2">
                  <c:v>-3363.5</c:v>
                </c:pt>
                <c:pt idx="3">
                  <c:v>-2294</c:v>
                </c:pt>
                <c:pt idx="4">
                  <c:v>-837</c:v>
                </c:pt>
                <c:pt idx="5">
                  <c:v>0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53-439B-8CE4-297D0363961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-3598.5</c:v>
                </c:pt>
                <c:pt idx="1">
                  <c:v>-3546</c:v>
                </c:pt>
                <c:pt idx="2">
                  <c:v>-3363.5</c:v>
                </c:pt>
                <c:pt idx="3">
                  <c:v>-2294</c:v>
                </c:pt>
                <c:pt idx="4">
                  <c:v>-837</c:v>
                </c:pt>
                <c:pt idx="5">
                  <c:v>0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53-439B-8CE4-297D0363961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-3598.5</c:v>
                </c:pt>
                <c:pt idx="1">
                  <c:v>-3546</c:v>
                </c:pt>
                <c:pt idx="2">
                  <c:v>-3363.5</c:v>
                </c:pt>
                <c:pt idx="3">
                  <c:v>-2294</c:v>
                </c:pt>
                <c:pt idx="4">
                  <c:v>-837</c:v>
                </c:pt>
                <c:pt idx="5">
                  <c:v>0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053-439B-8CE4-297D0363961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-3598.5</c:v>
                </c:pt>
                <c:pt idx="1">
                  <c:v>-3546</c:v>
                </c:pt>
                <c:pt idx="2">
                  <c:v>-3363.5</c:v>
                </c:pt>
                <c:pt idx="3">
                  <c:v>-2294</c:v>
                </c:pt>
                <c:pt idx="4">
                  <c:v>-837</c:v>
                </c:pt>
                <c:pt idx="5">
                  <c:v>0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053-439B-8CE4-297D0363961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-3598.5</c:v>
                </c:pt>
                <c:pt idx="1">
                  <c:v>-3546</c:v>
                </c:pt>
                <c:pt idx="2">
                  <c:v>-3363.5</c:v>
                </c:pt>
                <c:pt idx="3">
                  <c:v>-2294</c:v>
                </c:pt>
                <c:pt idx="4">
                  <c:v>-837</c:v>
                </c:pt>
                <c:pt idx="5">
                  <c:v>0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053-439B-8CE4-297D0363961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-3598.5</c:v>
                </c:pt>
                <c:pt idx="1">
                  <c:v>-3546</c:v>
                </c:pt>
                <c:pt idx="2">
                  <c:v>-3363.5</c:v>
                </c:pt>
                <c:pt idx="3">
                  <c:v>-2294</c:v>
                </c:pt>
                <c:pt idx="4">
                  <c:v>-837</c:v>
                </c:pt>
                <c:pt idx="5">
                  <c:v>0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1.3885492746962678E-2</c:v>
                </c:pt>
                <c:pt idx="1">
                  <c:v>1.370450931933798E-2</c:v>
                </c:pt>
                <c:pt idx="2">
                  <c:v>1.3075376451880696E-2</c:v>
                </c:pt>
                <c:pt idx="3">
                  <c:v>9.3884854834118455E-3</c:v>
                </c:pt>
                <c:pt idx="4">
                  <c:v>4.3657644539035565E-3</c:v>
                </c:pt>
                <c:pt idx="5">
                  <c:v>1.4803715220583699E-3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053-439B-8CE4-297D0363961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-3598.5</c:v>
                </c:pt>
                <c:pt idx="1">
                  <c:v>-3546</c:v>
                </c:pt>
                <c:pt idx="2">
                  <c:v>-3363.5</c:v>
                </c:pt>
                <c:pt idx="3">
                  <c:v>-2294</c:v>
                </c:pt>
                <c:pt idx="4">
                  <c:v>-837</c:v>
                </c:pt>
                <c:pt idx="5">
                  <c:v>0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053-439B-8CE4-297D03639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7275128"/>
        <c:axId val="1"/>
      </c:scatterChart>
      <c:valAx>
        <c:axId val="687275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72751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96240601503761"/>
          <c:y val="0.92375366568914952"/>
          <c:w val="0.7819548872180450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0</xdr:rowOff>
    </xdr:from>
    <xdr:to>
      <xdr:col>17</xdr:col>
      <xdr:colOff>209550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FCD1C64-360D-292F-0FE6-E781C4969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38" sqref="F3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7109375" customWidth="1"/>
    <col min="6" max="6" width="18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45</v>
      </c>
    </row>
    <row r="2" spans="1:7" x14ac:dyDescent="0.2">
      <c r="A2" t="s">
        <v>24</v>
      </c>
      <c r="B2" s="39" t="s">
        <v>53</v>
      </c>
      <c r="C2" s="3"/>
      <c r="D2" s="3" t="s">
        <v>44</v>
      </c>
      <c r="E2" s="28" t="s">
        <v>39</v>
      </c>
      <c r="F2" t="s">
        <v>39</v>
      </c>
    </row>
    <row r="3" spans="1:7" ht="13.5" thickBot="1" x14ac:dyDescent="0.25"/>
    <row r="4" spans="1:7" ht="14.25" thickTop="1" thickBot="1" x14ac:dyDescent="0.25">
      <c r="A4" s="5" t="s">
        <v>0</v>
      </c>
      <c r="C4" s="25" t="s">
        <v>38</v>
      </c>
      <c r="D4" s="26" t="s">
        <v>38</v>
      </c>
    </row>
    <row r="6" spans="1:7" x14ac:dyDescent="0.2">
      <c r="A6" s="5" t="s">
        <v>1</v>
      </c>
      <c r="E6" s="40" t="s">
        <v>49</v>
      </c>
    </row>
    <row r="7" spans="1:7" x14ac:dyDescent="0.2">
      <c r="A7" t="s">
        <v>2</v>
      </c>
      <c r="C7" s="29">
        <v>56683.578200000004</v>
      </c>
      <c r="D7" s="27" t="s">
        <v>50</v>
      </c>
      <c r="E7" s="41">
        <v>55599.61404</v>
      </c>
    </row>
    <row r="8" spans="1:7" x14ac:dyDescent="0.2">
      <c r="A8" t="s">
        <v>3</v>
      </c>
      <c r="C8" s="29">
        <v>0.30123</v>
      </c>
      <c r="D8" s="27" t="s">
        <v>50</v>
      </c>
      <c r="E8" s="42">
        <v>0.30122599999999999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19">
        <f ca="1">INTERCEPT(INDIRECT($G$11):G991,INDIRECT($F$11):F991)</f>
        <v>1.4803715220583699E-3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16</v>
      </c>
      <c r="B12" s="10"/>
      <c r="C12" s="19">
        <f ca="1">SLOPE(INDIRECT($G$11):G991,INDIRECT($F$11):F991)</f>
        <v>-3.4473033833275833E-6</v>
      </c>
      <c r="D12" s="3"/>
      <c r="E12" s="33" t="s">
        <v>52</v>
      </c>
      <c r="F12" s="36" t="s">
        <v>51</v>
      </c>
    </row>
    <row r="13" spans="1:7" x14ac:dyDescent="0.2">
      <c r="A13" s="10" t="s">
        <v>19</v>
      </c>
      <c r="B13" s="10"/>
      <c r="C13" s="3" t="s">
        <v>13</v>
      </c>
      <c r="D13" s="14"/>
      <c r="E13" s="30" t="s">
        <v>35</v>
      </c>
      <c r="F13" s="35">
        <v>1</v>
      </c>
    </row>
    <row r="14" spans="1:7" x14ac:dyDescent="0.2">
      <c r="A14" s="10"/>
      <c r="B14" s="10"/>
      <c r="C14" s="10"/>
      <c r="D14" s="14"/>
      <c r="E14" s="30" t="s">
        <v>32</v>
      </c>
      <c r="F14" s="34">
        <f ca="1">NOW()+15018.5+$C$9/24</f>
        <v>60532.761510069446</v>
      </c>
    </row>
    <row r="15" spans="1:7" x14ac:dyDescent="0.2">
      <c r="A15" s="12" t="s">
        <v>17</v>
      </c>
      <c r="B15" s="10"/>
      <c r="C15" s="13">
        <f ca="1">(C7+C11)+(C8+C12)*INT(MAX(F21:F3532))</f>
        <v>56683.579680371528</v>
      </c>
      <c r="D15" s="14"/>
      <c r="E15" s="30" t="s">
        <v>36</v>
      </c>
      <c r="F15" s="34">
        <f ca="1">ROUND(2*($F$14-$C$7)/$C$8,0)/2+$F$13</f>
        <v>12779</v>
      </c>
    </row>
    <row r="16" spans="1:7" x14ac:dyDescent="0.2">
      <c r="A16" s="15" t="s">
        <v>4</v>
      </c>
      <c r="B16" s="10"/>
      <c r="C16" s="16">
        <f ca="1">+C8+C12</f>
        <v>0.30122655269661669</v>
      </c>
      <c r="D16" s="14"/>
      <c r="E16" s="30" t="s">
        <v>37</v>
      </c>
      <c r="F16" s="34">
        <f ca="1">ROUND(2*($F$14-$C$15)/$C$16,0)/2+$F$13</f>
        <v>12779.5</v>
      </c>
    </row>
    <row r="17" spans="1:18" ht="13.5" thickBot="1" x14ac:dyDescent="0.25">
      <c r="A17" s="14" t="s">
        <v>29</v>
      </c>
      <c r="B17" s="10"/>
      <c r="C17" s="10">
        <f>COUNT(C21:C2190)</f>
        <v>6</v>
      </c>
      <c r="D17" s="14"/>
      <c r="E17" s="31" t="s">
        <v>47</v>
      </c>
      <c r="F17" s="37">
        <f ca="1">+$C$15+$C$16*$F$16-15018.5-$C$9/24</f>
        <v>45515.000243891278</v>
      </c>
    </row>
    <row r="18" spans="1:18" ht="14.25" thickTop="1" thickBot="1" x14ac:dyDescent="0.25">
      <c r="A18" s="15" t="s">
        <v>5</v>
      </c>
      <c r="B18" s="10"/>
      <c r="C18" s="17">
        <f ca="1">+C15</f>
        <v>56683.579680371528</v>
      </c>
      <c r="D18" s="18">
        <f ca="1">+C16</f>
        <v>0.30122655269661669</v>
      </c>
      <c r="E18" s="32" t="s">
        <v>48</v>
      </c>
      <c r="F18" s="38">
        <f ca="1">+($C$15+$C$16*$F$16)-($C$16/2)-15018.5-$C$9/24</f>
        <v>45514.849630614932</v>
      </c>
    </row>
    <row r="19" spans="1:18" ht="13.5" thickTop="1" x14ac:dyDescent="0.2">
      <c r="A19" s="22" t="s">
        <v>33</v>
      </c>
      <c r="E19" s="23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46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4" t="s">
        <v>34</v>
      </c>
    </row>
    <row r="21" spans="1:18" x14ac:dyDescent="0.2">
      <c r="A21" t="s">
        <v>41</v>
      </c>
      <c r="B21" t="s">
        <v>42</v>
      </c>
      <c r="C21" s="8">
        <v>55599.61404</v>
      </c>
      <c r="D21" s="8">
        <v>2.9999999999999997E-4</v>
      </c>
      <c r="E21">
        <f>+(C21-C$7)/C$8</f>
        <v>-3598.4601799289685</v>
      </c>
      <c r="F21">
        <f>ROUND(2*E21,0)/2</f>
        <v>-3598.5</v>
      </c>
      <c r="G21">
        <f>+C21-(C$7+F21*C$8)</f>
        <v>1.1994999993476085E-2</v>
      </c>
      <c r="I21">
        <f>+G21</f>
        <v>1.1994999993476085E-2</v>
      </c>
      <c r="O21">
        <f ca="1">+C$11+C$12*$F21</f>
        <v>1.3885492746962678E-2</v>
      </c>
      <c r="Q21" s="2">
        <f>+C21-15018.5</f>
        <v>40581.11404</v>
      </c>
    </row>
    <row r="22" spans="1:18" x14ac:dyDescent="0.2">
      <c r="A22" t="s">
        <v>41</v>
      </c>
      <c r="B22" t="s">
        <v>43</v>
      </c>
      <c r="C22" s="8">
        <v>55615.43103</v>
      </c>
      <c r="D22" s="8">
        <v>2.9999999999999997E-4</v>
      </c>
      <c r="E22">
        <f>+(C22-C$7)/C$8</f>
        <v>-3545.9521627992026</v>
      </c>
      <c r="F22">
        <f>ROUND(2*E22,0)/2</f>
        <v>-3546</v>
      </c>
      <c r="G22">
        <f>+C22-(C$7+F22*C$8)</f>
        <v>1.4409999996132683E-2</v>
      </c>
      <c r="I22">
        <f>+G22</f>
        <v>1.4409999996132683E-2</v>
      </c>
      <c r="O22">
        <f ca="1">+C$11+C$12*$F22</f>
        <v>1.370450931933798E-2</v>
      </c>
      <c r="Q22" s="2">
        <f>+C22-15018.5</f>
        <v>40596.93103</v>
      </c>
    </row>
    <row r="23" spans="1:18" x14ac:dyDescent="0.2">
      <c r="A23" t="s">
        <v>41</v>
      </c>
      <c r="B23" t="s">
        <v>42</v>
      </c>
      <c r="C23" s="8">
        <v>55670.404320000001</v>
      </c>
      <c r="D23" s="8">
        <v>1E-4</v>
      </c>
      <c r="E23">
        <f>+(C23-C$7)/C$8</f>
        <v>-3363.4560966703252</v>
      </c>
      <c r="F23">
        <f>ROUND(2*E23,0)/2</f>
        <v>-3363.5</v>
      </c>
      <c r="G23">
        <f>+C23-(C$7+F23*C$8)</f>
        <v>1.3224999995145481E-2</v>
      </c>
      <c r="I23">
        <f>+G23</f>
        <v>1.3224999995145481E-2</v>
      </c>
      <c r="O23">
        <f ca="1">+C$11+C$12*$F23</f>
        <v>1.3075376451880696E-2</v>
      </c>
      <c r="Q23" s="2">
        <f>+C23-15018.5</f>
        <v>40651.904320000001</v>
      </c>
    </row>
    <row r="24" spans="1:18" x14ac:dyDescent="0.2">
      <c r="A24" t="s">
        <v>41</v>
      </c>
      <c r="B24" t="s">
        <v>43</v>
      </c>
      <c r="C24" s="8">
        <v>55992.567130000003</v>
      </c>
      <c r="D24" s="8">
        <v>2.9999999999999997E-4</v>
      </c>
      <c r="E24">
        <f>+(C24-C$7)/C$8</f>
        <v>-2293.9649769279304</v>
      </c>
      <c r="F24">
        <f>ROUND(2*E24,0)/2</f>
        <v>-2294</v>
      </c>
      <c r="G24">
        <f>+C24-(C$7+F24*C$8)</f>
        <v>1.0549999999057036E-2</v>
      </c>
      <c r="I24">
        <f>+G24</f>
        <v>1.0549999999057036E-2</v>
      </c>
      <c r="O24">
        <f ca="1">+C$11+C$12*$F24</f>
        <v>9.3884854834118455E-3</v>
      </c>
      <c r="Q24" s="2">
        <f>+C24-15018.5</f>
        <v>40974.067130000003</v>
      </c>
    </row>
    <row r="25" spans="1:18" x14ac:dyDescent="0.2">
      <c r="A25" t="s">
        <v>41</v>
      </c>
      <c r="B25" t="s">
        <v>43</v>
      </c>
      <c r="C25" s="8">
        <v>56431.454409999998</v>
      </c>
      <c r="D25" s="8">
        <v>2.0000000000000001E-4</v>
      </c>
      <c r="E25">
        <f>+(C25-C$7)/C$8</f>
        <v>-836.98101118748161</v>
      </c>
      <c r="F25">
        <f>ROUND(2*E25,0)/2</f>
        <v>-837</v>
      </c>
      <c r="G25">
        <f>+C25-(C$7+F25*C$8)</f>
        <v>5.7199999937438406E-3</v>
      </c>
      <c r="I25">
        <f>+G25</f>
        <v>5.7199999937438406E-3</v>
      </c>
      <c r="O25">
        <f ca="1">+C$11+C$12*$F25</f>
        <v>4.3657644539035565E-3</v>
      </c>
      <c r="Q25" s="2">
        <f>+C25-15018.5</f>
        <v>41412.954409999998</v>
      </c>
    </row>
    <row r="26" spans="1:18" x14ac:dyDescent="0.2">
      <c r="A26" s="39" t="s">
        <v>50</v>
      </c>
      <c r="C26" s="8">
        <v>56683.578200000004</v>
      </c>
      <c r="D26" s="8"/>
      <c r="E26">
        <f>+(C26-C$7)/C$8</f>
        <v>0</v>
      </c>
      <c r="F26">
        <f>ROUND(2*E26,0)/2</f>
        <v>0</v>
      </c>
      <c r="G26">
        <f>+C26-(C$7+F26*C$8)</f>
        <v>0</v>
      </c>
      <c r="H26">
        <f>+G26</f>
        <v>0</v>
      </c>
      <c r="O26">
        <f ca="1">+C$11+C$12*$F26</f>
        <v>1.4803715220583699E-3</v>
      </c>
      <c r="Q26" s="2">
        <f>+C26-15018.5</f>
        <v>41665.078200000004</v>
      </c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2024-08-10T06:16:34Z</dcterms:modified>
</cp:coreProperties>
</file>