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BAFE6D8-0BF0-4B22-A81A-73514593A5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3" i="1"/>
  <c r="F23" i="1"/>
  <c r="G23" i="1"/>
  <c r="I23" i="1"/>
  <c r="Q23" i="1"/>
  <c r="E22" i="1"/>
  <c r="F22" i="1"/>
  <c r="G22" i="1"/>
  <c r="I22" i="1"/>
  <c r="F11" i="1"/>
  <c r="Q22" i="1"/>
  <c r="C21" i="1"/>
  <c r="G11" i="1"/>
  <c r="E21" i="1"/>
  <c r="F21" i="1"/>
  <c r="G21" i="1"/>
  <c r="Q21" i="1"/>
  <c r="C17" i="1"/>
  <c r="H21" i="1"/>
  <c r="C12" i="1"/>
  <c r="F15" i="1" l="1"/>
  <c r="C16" i="1"/>
  <c r="D18" i="1" s="1"/>
  <c r="C11" i="1"/>
  <c r="O23" i="1" l="1"/>
  <c r="C15" i="1"/>
  <c r="O21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<sst xmlns="http://schemas.openxmlformats.org/spreadsheetml/2006/main" count="56" uniqueCount="50">
  <si>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</si>
  <si>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</si>
  <si>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</si>
  <si>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</si>
  <si>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</si>
  <si>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</si>
  <si>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</si>
  <si>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</si>
  <si>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</si>
  <si>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</si>
  <si>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</si>
  <si>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</si>
  <si>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</si>
  <si>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</si>
  <si>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</si>
  <si>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</si>
  <si>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</si>
  <si>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</si>
  <si>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</si>
  <si>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</si>
  <si>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</si>
  <si>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</si>
  <si>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</si>
  <si>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</si>
  <si>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</si>
  <si>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</si>
  <si>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</si>
  <si>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</si>
  <si>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</si>
  <si>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</si>
  <si>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</si>
  <si>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</si>
  <si>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</si>
  <si>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</si>
  <si>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</si>
  <si>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</si>
  <si>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</si>
  <si>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</si>
  <si>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QU Dra / GSC 3872-1019</t>
  </si>
  <si>
    <t>EW</t>
  </si>
  <si>
    <t>IBVS 6029</t>
  </si>
  <si>
    <t>I</t>
  </si>
  <si>
    <t>OEJV 0168</t>
  </si>
  <si>
    <t>CCD</t>
  </si>
  <si>
    <t>Next ToM-P</t>
  </si>
  <si>
    <t>Next ToM-S</t>
  </si>
  <si>
    <t>14.10-14.80</t>
  </si>
  <si>
    <t xml:space="preserve">Mag R1 </t>
  </si>
  <si>
    <t>CCD?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</si>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</sst>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  <xf numFmtId="0" fontId="18" fillId="0" borderId="7" xfId="0" applyFont="1" applyBorder="1" applyAlignment="1">
      <alignment horizontal="right" vertical="center"/>
    </xf>
    <xf numFmtId="22" fontId="18" fillId="0" borderId="7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7" fillId="2" borderId="5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22" fontId="20" fillId="0" borderId="8" xfId="0" applyNumberFormat="1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QU Dra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16689</c:v>
                </c:pt>
                <c:pt idx="2">
                  <c:v>19526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8A-4B34-BB30-F368797A59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16689</c:v>
                </c:pt>
                <c:pt idx="2">
                  <c:v>19526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-3.6613000003853813E-2</c:v>
                </c:pt>
                <c:pt idx="2">
                  <c:v>-3.9681999995082151E-2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8A-4B34-BB30-F368797A594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16689</c:v>
                </c:pt>
                <c:pt idx="2">
                  <c:v>19526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8A-4B34-BB30-F368797A594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16689</c:v>
                </c:pt>
                <c:pt idx="2">
                  <c:v>19526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8A-4B34-BB30-F368797A594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16689</c:v>
                </c:pt>
                <c:pt idx="2">
                  <c:v>19526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8A-4B34-BB30-F368797A59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16689</c:v>
                </c:pt>
                <c:pt idx="2">
                  <c:v>19526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8A-4B34-BB30-F368797A59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16689</c:v>
                </c:pt>
                <c:pt idx="2">
                  <c:v>19526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8A-4B34-BB30-F368797A59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16689</c:v>
                </c:pt>
                <c:pt idx="2">
                  <c:v>19526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-2.2367057785313213E-4</c:v>
                </c:pt>
                <c:pt idx="1">
                  <c:v>-3.5073559854696137E-2</c:v>
                </c:pt>
                <c:pt idx="2">
                  <c:v>-4.0997769566386691E-2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8A-4B34-BB30-F368797A594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16689</c:v>
                </c:pt>
                <c:pt idx="2">
                  <c:v>19526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8A-4B34-BB30-F368797A5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757808"/>
        <c:axId val="1"/>
      </c:scatterChart>
      <c:valAx>
        <c:axId val="346757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757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9525</xdr:rowOff>
    </xdr:from>
    <xdr:to>
      <xdr:col>17</xdr:col>
      <xdr:colOff>152400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ABAD585-48AA-6167-BC17-898F451CB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140625" customWidth="1"/>
    <col min="6" max="6" width="1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38</v>
      </c>
    </row>
    <row r="2" spans="1:7" ht="12.95" customHeight="1">
      <c r="A2" t="s">
        <v>23</v>
      </c>
      <c r="B2" t="s">
        <v>39</v>
      </c>
      <c r="C2" s="3"/>
      <c r="D2" s="3"/>
    </row>
    <row r="3" spans="1:7" ht="12.95" customHeight="1" thickBot="1"/>
    <row r="4" spans="1:7" ht="12.95" customHeight="1" thickTop="1" thickBot="1">
      <c r="A4" s="5" t="s">
        <v>0</v>
      </c>
      <c r="C4" s="25" t="s">
        <v>36</v>
      </c>
      <c r="D4" s="26" t="s">
        <v>36</v>
      </c>
    </row>
    <row r="5" spans="1:7" ht="12.95" customHeight="1"/>
    <row r="6" spans="1:7" ht="12.95" customHeight="1">
      <c r="A6" s="5" t="s">
        <v>1</v>
      </c>
    </row>
    <row r="7" spans="1:7" ht="12.95" customHeight="1">
      <c r="A7" t="s">
        <v>2</v>
      </c>
      <c r="C7" s="33">
        <v>51408.415000000001</v>
      </c>
      <c r="D7" s="27" t="s">
        <v>37</v>
      </c>
    </row>
    <row r="8" spans="1:7" ht="12.95" customHeight="1">
      <c r="A8" t="s">
        <v>3</v>
      </c>
      <c r="C8" s="33">
        <v>0.27691700000000002</v>
      </c>
      <c r="D8" s="27" t="s">
        <v>37</v>
      </c>
    </row>
    <row r="9" spans="1:7" ht="12.95" customHeight="1">
      <c r="A9" s="9" t="s">
        <v>28</v>
      </c>
      <c r="B9" s="10"/>
      <c r="C9" s="11">
        <v>-9.5</v>
      </c>
      <c r="D9" s="10" t="s">
        <v>29</v>
      </c>
      <c r="E9" s="10"/>
    </row>
    <row r="10" spans="1:7" ht="12.95" customHeight="1" thickBot="1">
      <c r="A10" s="10"/>
      <c r="B10" s="10"/>
      <c r="C10" s="4" t="s">
        <v>19</v>
      </c>
      <c r="D10" s="4" t="s">
        <v>20</v>
      </c>
      <c r="E10" s="10"/>
    </row>
    <row r="11" spans="1:7" ht="12.95" customHeight="1">
      <c r="A11" s="10" t="s">
        <v>15</v>
      </c>
      <c r="B11" s="10"/>
      <c r="C11" s="19">
        <f ca="1">INTERCEPT(INDIRECT($G$11):G992,INDIRECT($F$11):F992)</f>
        <v>-2.2367057785313213E-4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ht="12.95" customHeight="1">
      <c r="A12" s="10" t="s">
        <v>16</v>
      </c>
      <c r="B12" s="10"/>
      <c r="C12" s="19">
        <f ca="1">SLOPE(INDIRECT($G$11):G992,INDIRECT($F$11):F992)</f>
        <v>-2.0881951750759786E-6</v>
      </c>
      <c r="D12" s="3"/>
      <c r="E12" s="37" t="s">
        <v>47</v>
      </c>
      <c r="F12" s="38" t="s">
        <v>46</v>
      </c>
    </row>
    <row r="13" spans="1:7" ht="12.95" customHeight="1">
      <c r="A13" s="10" t="s">
        <v>18</v>
      </c>
      <c r="B13" s="10"/>
      <c r="C13" s="3" t="s">
        <v>13</v>
      </c>
      <c r="D13" s="14"/>
      <c r="E13" s="34" t="s">
        <v>33</v>
      </c>
      <c r="F13" s="39">
        <v>1</v>
      </c>
    </row>
    <row r="14" spans="1:7" ht="12.95" customHeight="1">
      <c r="A14" s="10"/>
      <c r="B14" s="10"/>
      <c r="C14" s="10"/>
      <c r="D14" s="14"/>
      <c r="E14" s="34" t="s">
        <v>30</v>
      </c>
      <c r="F14" s="40">
        <f ca="1">NOW()+15018.5+$C$9/24</f>
        <v>60532.790572337959</v>
      </c>
    </row>
    <row r="15" spans="1:7" ht="12.95" customHeight="1">
      <c r="A15" s="12" t="s">
        <v>17</v>
      </c>
      <c r="B15" s="10"/>
      <c r="C15" s="13">
        <f ca="1">(C7+C11)+(C8+C12)*INT(MAX(F21:F3533))</f>
        <v>56815.455344230439</v>
      </c>
      <c r="D15" s="14"/>
      <c r="E15" s="34" t="s">
        <v>34</v>
      </c>
      <c r="F15" s="40">
        <f ca="1">ROUND(2*($F$14-$C$7)/$C$8,0)/2+$F$13</f>
        <v>32951</v>
      </c>
    </row>
    <row r="16" spans="1:7" ht="12.95" customHeight="1">
      <c r="A16" s="15" t="s">
        <v>4</v>
      </c>
      <c r="B16" s="10"/>
      <c r="C16" s="16">
        <f ca="1">+C8+C12</f>
        <v>0.27691491180482497</v>
      </c>
      <c r="D16" s="14"/>
      <c r="E16" s="34" t="s">
        <v>35</v>
      </c>
      <c r="F16" s="40">
        <f ca="1">ROUND(2*($F$14-$C$15)/$C$16,0)/2+$F$13</f>
        <v>13425</v>
      </c>
    </row>
    <row r="17" spans="1:18" ht="12.95" customHeight="1" thickBot="1">
      <c r="A17" s="14" t="s">
        <v>27</v>
      </c>
      <c r="B17" s="10"/>
      <c r="C17" s="10">
        <f>COUNT(C21:C2191)</f>
        <v>3</v>
      </c>
      <c r="D17" s="14"/>
      <c r="E17" s="35" t="s">
        <v>44</v>
      </c>
      <c r="F17" s="41">
        <f ca="1">+$C$15+$C$16*$F$16-15018.5-$C$9/24</f>
        <v>45514.93386854355</v>
      </c>
    </row>
    <row r="18" spans="1:18" ht="12.95" customHeight="1" thickTop="1" thickBot="1">
      <c r="A18" s="15" t="s">
        <v>5</v>
      </c>
      <c r="B18" s="10"/>
      <c r="C18" s="17">
        <f ca="1">+C15</f>
        <v>56815.455344230439</v>
      </c>
      <c r="D18" s="18">
        <f ca="1">+C16</f>
        <v>0.27691491180482497</v>
      </c>
      <c r="E18" s="36" t="s">
        <v>45</v>
      </c>
      <c r="F18" s="42">
        <f ca="1">+($C$15+$C$16*$F$16)-($C$16/2)-15018.5-$C$9/24</f>
        <v>45514.795411087645</v>
      </c>
    </row>
    <row r="19" spans="1:18" ht="12.95" customHeight="1" thickTop="1">
      <c r="A19" s="22" t="s">
        <v>31</v>
      </c>
      <c r="E19" s="23">
        <v>21</v>
      </c>
    </row>
    <row r="20" spans="1:18" ht="12.95" customHeight="1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48</v>
      </c>
      <c r="J20" s="7" t="s">
        <v>49</v>
      </c>
      <c r="K20" s="7" t="s">
        <v>43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4" t="s">
        <v>32</v>
      </c>
    </row>
    <row r="21" spans="1:18" ht="12.95" customHeight="1">
      <c r="A21" t="s">
        <v>37</v>
      </c>
      <c r="C21" s="8">
        <f>C7</f>
        <v>51408.415000000001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-2.2367057785313213E-4</v>
      </c>
      <c r="Q21" s="2">
        <f>+C21-15018.5</f>
        <v>36389.915000000001</v>
      </c>
    </row>
    <row r="22" spans="1:18" ht="12.95" customHeight="1">
      <c r="A22" s="28" t="s">
        <v>40</v>
      </c>
      <c r="B22" s="29" t="s">
        <v>41</v>
      </c>
      <c r="C22" s="28">
        <v>56029.8462</v>
      </c>
      <c r="D22" s="28">
        <v>2.0000000000000001E-4</v>
      </c>
      <c r="E22">
        <f>+(C22-C$7)/C$8</f>
        <v>16688.867783487465</v>
      </c>
      <c r="F22">
        <f>ROUND(2*E22,0)/2</f>
        <v>16689</v>
      </c>
      <c r="G22">
        <f>+C22-(C$7+F22*C$8)</f>
        <v>-3.6613000003853813E-2</v>
      </c>
      <c r="I22">
        <f>+G22</f>
        <v>-3.6613000003853813E-2</v>
      </c>
      <c r="O22">
        <f ca="1">+C$11+C$12*$F22</f>
        <v>-3.5073559854696137E-2</v>
      </c>
      <c r="Q22" s="2">
        <f>+C22-15018.5</f>
        <v>41011.3462</v>
      </c>
    </row>
    <row r="23" spans="1:18" ht="12.95" customHeight="1">
      <c r="A23" s="30" t="s">
        <v>42</v>
      </c>
      <c r="B23" s="31" t="s">
        <v>41</v>
      </c>
      <c r="C23" s="32">
        <v>56815.456660000003</v>
      </c>
      <c r="D23" s="30">
        <v>2.9999999999999997E-4</v>
      </c>
      <c r="E23">
        <f>+(C23-C$7)/C$8</f>
        <v>19525.856700744273</v>
      </c>
      <c r="F23">
        <f>ROUND(2*E23,0)/2</f>
        <v>19526</v>
      </c>
      <c r="G23">
        <f>+C23-(C$7+F23*C$8)</f>
        <v>-3.9681999995082151E-2</v>
      </c>
      <c r="I23">
        <f>+G23</f>
        <v>-3.9681999995082151E-2</v>
      </c>
      <c r="O23">
        <f ca="1">+C$11+C$12*$F23</f>
        <v>-4.0997769566386691E-2</v>
      </c>
      <c r="Q23" s="2">
        <f>+C23-15018.5</f>
        <v>41796.956660000003</v>
      </c>
    </row>
    <row r="24" spans="1:18" ht="12.95" customHeight="1">
      <c r="C24" s="8"/>
      <c r="D24" s="8"/>
      <c r="Q24" s="2"/>
    </row>
    <row r="25" spans="1:18" ht="12.95" customHeight="1">
      <c r="C25" s="8"/>
      <c r="D25" s="8"/>
      <c r="Q25" s="2"/>
    </row>
    <row r="26" spans="1:18" ht="12.95" customHeight="1">
      <c r="C26" s="8"/>
      <c r="D26" s="8"/>
      <c r="Q26" s="2"/>
    </row>
    <row r="27" spans="1:18" ht="12.95" customHeight="1">
      <c r="C27" s="8"/>
      <c r="D27" s="8"/>
      <c r="Q27" s="2"/>
    </row>
    <row r="28" spans="1:18" ht="12.95" customHeight="1">
      <c r="C28" s="8"/>
      <c r="D28" s="8"/>
      <c r="Q28" s="2"/>
    </row>
    <row r="29" spans="1:18" ht="12.95" customHeight="1">
      <c r="C29" s="8"/>
      <c r="D29" s="8"/>
      <c r="Q29" s="2"/>
    </row>
    <row r="30" spans="1:18" ht="12.95" customHeight="1">
      <c r="C30" s="8"/>
      <c r="D30" s="8"/>
      <c r="Q30" s="2"/>
    </row>
    <row r="31" spans="1:18" ht="12.95" customHeight="1">
      <c r="C31" s="8"/>
      <c r="D31" s="8"/>
      <c r="Q31" s="2"/>
    </row>
    <row r="32" spans="1:18" ht="12.95" customHeight="1">
      <c r="C32" s="8"/>
      <c r="D32" s="8"/>
      <c r="Q32" s="2"/>
    </row>
    <row r="33" spans="3:17" ht="12.95" customHeight="1">
      <c r="C33" s="8"/>
      <c r="D33" s="8"/>
      <c r="Q33" s="2"/>
    </row>
    <row r="34" spans="3:17" ht="12.95" customHeight="1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2024-08-10T06:58:25Z</dcterms:modified>
</cp:coreProperties>
</file>