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D2A4D5B-0002-48D1-99BF-8A747ACF0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40" i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/>
  <c r="G39" i="1" s="1"/>
  <c r="K39" i="1" s="1"/>
  <c r="E40" i="1"/>
  <c r="F40" i="1" s="1"/>
  <c r="G40" i="1" s="1"/>
  <c r="K40" i="1" s="1"/>
  <c r="E29" i="1"/>
  <c r="F29" i="1" s="1"/>
  <c r="G29" i="1" s="1"/>
  <c r="K29" i="1" s="1"/>
  <c r="E30" i="1"/>
  <c r="F30" i="1" s="1"/>
  <c r="G30" i="1" s="1"/>
  <c r="K30" i="1" s="1"/>
  <c r="E31" i="1"/>
  <c r="E19" i="2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E23" i="2" s="1"/>
  <c r="F35" i="1"/>
  <c r="G35" i="1" s="1"/>
  <c r="J35" i="1" s="1"/>
  <c r="Q39" i="1"/>
  <c r="Q38" i="1"/>
  <c r="Q37" i="1"/>
  <c r="Q36" i="1"/>
  <c r="E25" i="1"/>
  <c r="F25" i="1"/>
  <c r="G25" i="1" s="1"/>
  <c r="K25" i="1" s="1"/>
  <c r="E26" i="1"/>
  <c r="F26" i="1" s="1"/>
  <c r="G26" i="1" s="1"/>
  <c r="K26" i="1" s="1"/>
  <c r="G23" i="2"/>
  <c r="C23" i="2"/>
  <c r="C21" i="1"/>
  <c r="G22" i="2"/>
  <c r="C22" i="2"/>
  <c r="E22" i="2"/>
  <c r="G21" i="2"/>
  <c r="C21" i="2"/>
  <c r="G20" i="2"/>
  <c r="C20" i="2"/>
  <c r="E20" i="2"/>
  <c r="G19" i="2"/>
  <c r="C19" i="2"/>
  <c r="G18" i="2"/>
  <c r="C18" i="2"/>
  <c r="E18" i="2"/>
  <c r="G17" i="2"/>
  <c r="C17" i="2"/>
  <c r="E28" i="1"/>
  <c r="E17" i="2" s="1"/>
  <c r="G16" i="2"/>
  <c r="C16" i="2"/>
  <c r="E27" i="1"/>
  <c r="F27" i="1" s="1"/>
  <c r="G27" i="1" s="1"/>
  <c r="J27" i="1" s="1"/>
  <c r="G15" i="2"/>
  <c r="C15" i="2"/>
  <c r="G14" i="2"/>
  <c r="C14" i="2"/>
  <c r="E14" i="2"/>
  <c r="G13" i="2"/>
  <c r="C13" i="2"/>
  <c r="E13" i="2"/>
  <c r="E24" i="1"/>
  <c r="F24" i="1" s="1"/>
  <c r="G24" i="1" s="1"/>
  <c r="J24" i="1" s="1"/>
  <c r="G12" i="2"/>
  <c r="C12" i="2"/>
  <c r="E23" i="1"/>
  <c r="F23" i="1" s="1"/>
  <c r="G23" i="1" s="1"/>
  <c r="J23" i="1" s="1"/>
  <c r="G11" i="2"/>
  <c r="C11" i="2"/>
  <c r="E22" i="1"/>
  <c r="F22" i="1" s="1"/>
  <c r="G22" i="1" s="1"/>
  <c r="J22" i="1" s="1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5" i="1"/>
  <c r="C9" i="1"/>
  <c r="D9" i="1"/>
  <c r="Q22" i="1"/>
  <c r="Q23" i="1"/>
  <c r="Q24" i="1"/>
  <c r="Q27" i="1"/>
  <c r="Q28" i="1"/>
  <c r="Q29" i="1"/>
  <c r="Q30" i="1"/>
  <c r="Q31" i="1"/>
  <c r="Q32" i="1"/>
  <c r="Q33" i="1"/>
  <c r="Q34" i="1"/>
  <c r="Q25" i="1"/>
  <c r="Q26" i="1"/>
  <c r="Q21" i="1"/>
  <c r="E21" i="1"/>
  <c r="F21" i="1" s="1"/>
  <c r="G21" i="1" s="1"/>
  <c r="H21" i="1" s="1"/>
  <c r="C17" i="1"/>
  <c r="E11" i="2" l="1"/>
  <c r="F28" i="1"/>
  <c r="G28" i="1" s="1"/>
  <c r="F31" i="1"/>
  <c r="G31" i="1" s="1"/>
  <c r="K31" i="1" s="1"/>
  <c r="E15" i="2"/>
  <c r="E16" i="2"/>
  <c r="E21" i="2"/>
  <c r="E12" i="2"/>
  <c r="F15" i="1"/>
  <c r="C11" i="1"/>
  <c r="C12" i="1"/>
  <c r="C16" i="1" l="1"/>
  <c r="D18" i="1" s="1"/>
  <c r="O26" i="1"/>
  <c r="O27" i="1"/>
  <c r="O36" i="1"/>
  <c r="C15" i="1"/>
  <c r="C18" i="1" s="1"/>
  <c r="O28" i="1"/>
  <c r="O34" i="1"/>
  <c r="O40" i="1"/>
  <c r="O38" i="1"/>
  <c r="O23" i="1"/>
  <c r="O25" i="1"/>
  <c r="O39" i="1"/>
  <c r="O33" i="1"/>
  <c r="O31" i="1"/>
  <c r="O22" i="1"/>
  <c r="O21" i="1"/>
  <c r="O35" i="1"/>
  <c r="O30" i="1"/>
  <c r="O32" i="1"/>
  <c r="O24" i="1"/>
  <c r="O29" i="1"/>
  <c r="O37" i="1"/>
  <c r="J28" i="1"/>
  <c r="F16" i="1" l="1"/>
  <c r="F18" i="1" s="1"/>
  <c r="F17" i="1" l="1"/>
</calcChain>
</file>

<file path=xl/sharedStrings.xml><?xml version="1.0" encoding="utf-8"?>
<sst xmlns="http://schemas.openxmlformats.org/spreadsheetml/2006/main" count="218" uniqueCount="119">
  <si>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</si>
  <si>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</si>
  <si>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</si>
  <si>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</si>
  <si>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</si>
  <si>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</si>
  <si>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</si>
  <si>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</si>
  <si>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</si>
  <si>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</si>
  <si>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</si>
  <si>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</si>
  <si>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</si>
  <si>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</si>
  <si>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</si>
  <si>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</si>
  <si>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</si>
  <si>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</si>
  <si>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</si>
  <si>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</si>
  <si>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</si>
  <si>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</si>
  <si>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</si>
  <si>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</si>
  <si>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</si>
  <si>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</si>
  <si>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</si>
  <si>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</si>
  <si>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</si>
  <si>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</si>
  <si>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</si>
  <si>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</si>
  <si>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</si>
  <si>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</si>
  <si>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</si>
  <si>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</si>
  <si>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</si>
  <si>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</si>
  <si>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V0338 Dra / GSC 4182-1259</t>
  </si>
  <si>
    <t>EW</t>
  </si>
  <si>
    <t>IBVS 6029</t>
  </si>
  <si>
    <t>I</t>
  </si>
  <si>
    <t>II</t>
  </si>
  <si>
    <t>IBVS 6048</t>
  </si>
  <si>
    <t>IBVS 6070</t>
  </si>
  <si>
    <t>OEJV 0160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</si>
  <si>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</si>
  <si>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</si>
  <si>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</si>
  <si>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</si>
  <si>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</si>
  <si>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</si>
  <si>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</si>
  <si>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</si>
  <si>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</si>
  <si>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</si>
  <si>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</si>
  <si>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</si>
  <si>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2456007.3877 </t>
  </si>
  <si>
    <t> 20.03.2012 21:18 </t>
  </si>
  <si>
    <t> -0.0271 </t>
  </si>
  <si>
    <t>C </t>
  </si>
  <si>
    <t>-I</t>
  </si>
  <si>
    <t> F.Agerer </t>
  </si>
  <si>
    <t>BAVM 228 </t>
  </si>
  <si>
    <t>2456007.5056 </t>
  </si>
  <si>
    <t> 21.03.2012 00:08 </t>
  </si>
  <si>
    <t>19896</t>
  </si>
  <si>
    <t> -0.0268 </t>
  </si>
  <si>
    <t>2456007.6219 </t>
  </si>
  <si>
    <t> 21.03.2012 02:55 </t>
  </si>
  <si>
    <t>19896.5</t>
  </si>
  <si>
    <t> -0.0281 </t>
  </si>
  <si>
    <t>2456033.8434 </t>
  </si>
  <si>
    <t> 16.04.2012 08:14 </t>
  </si>
  <si>
    <t>20008</t>
  </si>
  <si>
    <t> -0.0258 </t>
  </si>
  <si>
    <t> R.Diethelm </t>
  </si>
  <si>
    <t>IBVS 6029 </t>
  </si>
  <si>
    <t>2456033.9595 </t>
  </si>
  <si>
    <t> 16.04.2012 11:01 </t>
  </si>
  <si>
    <t>20008.5</t>
  </si>
  <si>
    <t> -0.0273 </t>
  </si>
  <si>
    <t>2456062.4120 </t>
  </si>
  <si>
    <t> 14.05.2012 21:53 </t>
  </si>
  <si>
    <t>20129.5</t>
  </si>
  <si>
    <t> -0.0279 </t>
  </si>
  <si>
    <t>BAVM 231 </t>
  </si>
  <si>
    <t>2456062.5297 </t>
  </si>
  <si>
    <t> 15.05.2012 00:42 </t>
  </si>
  <si>
    <t>20130</t>
  </si>
  <si>
    <t> -0.0278 </t>
  </si>
  <si>
    <t>2456421.36489 </t>
  </si>
  <si>
    <t> 08.05.2013 20:45 </t>
  </si>
  <si>
    <t>21656</t>
  </si>
  <si>
    <t> -0.03151 </t>
  </si>
  <si>
    <t> M.Vraš?ak </t>
  </si>
  <si>
    <t>OEJV 0160 </t>
  </si>
  <si>
    <t>2456421.36497 </t>
  </si>
  <si>
    <t> -0.03143 </t>
  </si>
  <si>
    <t>2456421.48209 </t>
  </si>
  <si>
    <t> 08.05.2013 23:34 </t>
  </si>
  <si>
    <t>21656.5</t>
  </si>
  <si>
    <t> -0.03188 </t>
  </si>
  <si>
    <t>2456421.48225 </t>
  </si>
  <si>
    <t> -0.03172 </t>
  </si>
  <si>
    <t>R</t>
  </si>
  <si>
    <t>2456421.4823 </t>
  </si>
  <si>
    <t> -0.0317 </t>
  </si>
  <si>
    <t>2456771.5005 </t>
  </si>
  <si>
    <t> 24.04.2014 00:00 </t>
  </si>
  <si>
    <t>23145</t>
  </si>
  <si>
    <t> -0.0342 </t>
  </si>
  <si>
    <t>BAVM 238 </t>
  </si>
  <si>
    <t>OEJV 0179</t>
  </si>
  <si>
    <t>Next ToM-P</t>
  </si>
  <si>
    <t>Next ToM-S</t>
  </si>
  <si>
    <t>13.30-13.90</t>
  </si>
  <si>
    <t xml:space="preserve">Mag 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</si>
</sst>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0" fillId="0" borderId="0" xfId="0" applyAlignment="1">
      <alignment horizontal="right"/>
    </xf>
    <xf numFmtId="0" fontId="35" fillId="0" borderId="20" xfId="0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0" fontId="23" fillId="25" borderId="18" xfId="0" applyFont="1" applyFill="1" applyBorder="1" applyAlignment="1">
      <alignment horizontal="right" vertical="center"/>
    </xf>
    <xf numFmtId="0" fontId="23" fillId="25" borderId="19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right" vertical="center"/>
    </xf>
    <xf numFmtId="0" fontId="37" fillId="0" borderId="21" xfId="0" applyFont="1" applyBorder="1" applyAlignment="1">
      <alignment horizontal="right" vertical="center"/>
    </xf>
    <xf numFmtId="22" fontId="37" fillId="0" borderId="21" xfId="0" applyNumberFormat="1" applyFont="1" applyBorder="1" applyAlignment="1">
      <alignment horizontal="right" vertical="center"/>
    </xf>
    <xf numFmtId="22" fontId="37" fillId="0" borderId="22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V0338 Dra - O-C Diagr.</a:t>
            </a:r>
          </a:p>
        </c:rich>
      </c:tx>
      <c:layout>
        <c:manualLayout>
          <c:xMode val="edge"/>
          <c:yMode val="edge"/>
          <c:x val="0.4002293577981651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B-439B-8FE2-8DD4F11036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B-439B-8FE2-8DD4F11036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-7.2294999990845099E-3</c:v>
                </c:pt>
                <c:pt idx="2">
                  <c:v>-6.9040000016684644E-3</c:v>
                </c:pt>
                <c:pt idx="3">
                  <c:v>-8.1785000002128072E-3</c:v>
                </c:pt>
                <c:pt idx="6">
                  <c:v>-7.7955000015208498E-3</c:v>
                </c:pt>
                <c:pt idx="7">
                  <c:v>-7.6699999990523793E-3</c:v>
                </c:pt>
                <c:pt idx="14">
                  <c:v>-1.1104999997769482E-2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9B-439B-8FE2-8DD4F11036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-5.7919999962905422E-3</c:v>
                </c:pt>
                <c:pt idx="5">
                  <c:v>-7.2665000043343753E-3</c:v>
                </c:pt>
                <c:pt idx="8">
                  <c:v>-1.0073999997985084E-2</c:v>
                </c:pt>
                <c:pt idx="9">
                  <c:v>-9.8540000035427511E-3</c:v>
                </c:pt>
                <c:pt idx="10">
                  <c:v>-9.7739999982877634E-3</c:v>
                </c:pt>
                <c:pt idx="11">
                  <c:v>-1.0228499995719176E-2</c:v>
                </c:pt>
                <c:pt idx="12">
                  <c:v>-1.0068499992485158E-2</c:v>
                </c:pt>
                <c:pt idx="13">
                  <c:v>-1.0018499990110286E-2</c:v>
                </c:pt>
                <c:pt idx="15">
                  <c:v>-1.4150999995763414E-2</c:v>
                </c:pt>
                <c:pt idx="16">
                  <c:v>-1.4203499995346647E-2</c:v>
                </c:pt>
                <c:pt idx="17">
                  <c:v>-1.4067999996768776E-2</c:v>
                </c:pt>
                <c:pt idx="18">
                  <c:v>-1.5266999995219521E-2</c:v>
                </c:pt>
                <c:pt idx="19">
                  <c:v>-1.6681499997503124E-2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9B-439B-8FE2-8DD4F11036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9B-439B-8FE2-8DD4F11036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9B-439B-8FE2-8DD4F11036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9B-439B-8FE2-8DD4F11036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1.8826951717076205E-2</c:v>
                </c:pt>
                <c:pt idx="1">
                  <c:v>-7.3324578980588084E-3</c:v>
                </c:pt>
                <c:pt idx="2">
                  <c:v>-7.333115318320052E-3</c:v>
                </c:pt>
                <c:pt idx="3">
                  <c:v>-7.3337727385812956E-3</c:v>
                </c:pt>
                <c:pt idx="4">
                  <c:v>-7.4803774568385703E-3</c:v>
                </c:pt>
                <c:pt idx="5">
                  <c:v>-7.4810348770998139E-3</c:v>
                </c:pt>
                <c:pt idx="6">
                  <c:v>-7.6401305803207066E-3</c:v>
                </c:pt>
                <c:pt idx="7">
                  <c:v>-7.6407880005819502E-3</c:v>
                </c:pt>
                <c:pt idx="8">
                  <c:v>-9.6472346378967226E-3</c:v>
                </c:pt>
                <c:pt idx="9">
                  <c:v>-9.6472346378967226E-3</c:v>
                </c:pt>
                <c:pt idx="10">
                  <c:v>-9.6472346378967226E-3</c:v>
                </c:pt>
                <c:pt idx="11">
                  <c:v>-9.6478920581579662E-3</c:v>
                </c:pt>
                <c:pt idx="12">
                  <c:v>-9.6478920581579662E-3</c:v>
                </c:pt>
                <c:pt idx="13">
                  <c:v>-9.6478920581579662E-3</c:v>
                </c:pt>
                <c:pt idx="14">
                  <c:v>-1.1605032175879486E-2</c:v>
                </c:pt>
                <c:pt idx="15">
                  <c:v>-1.4042746504569908E-2</c:v>
                </c:pt>
                <c:pt idx="16">
                  <c:v>-1.4059182011100992E-2</c:v>
                </c:pt>
                <c:pt idx="17">
                  <c:v>-1.4059839431362235E-2</c:v>
                </c:pt>
                <c:pt idx="18">
                  <c:v>-1.6217492728762981E-2</c:v>
                </c:pt>
                <c:pt idx="19">
                  <c:v>-1.6218150149024224E-2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9B-439B-8FE2-8DD4F11036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9B-439B-8FE2-8DD4F1103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83624"/>
        <c:axId val="1"/>
      </c:scatterChart>
      <c:valAx>
        <c:axId val="680083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715744092697826E-2"/>
              <c:y val="0.37427001804954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8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0262467191601"/>
          <c:y val="0.92397937099967764"/>
          <c:w val="0.771954752134856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V0338 Dra - O-C Diagr.</a:t>
            </a:r>
          </a:p>
        </c:rich>
      </c:tx>
      <c:layout>
        <c:manualLayout>
          <c:xMode val="edge"/>
          <c:yMode val="edge"/>
          <c:x val="0.4002293577981651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1-4C4E-ADA3-B679445AE6D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1-4C4E-ADA3-B679445AE6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-7.2294999990845099E-3</c:v>
                </c:pt>
                <c:pt idx="2">
                  <c:v>-6.9040000016684644E-3</c:v>
                </c:pt>
                <c:pt idx="3">
                  <c:v>-8.1785000002128072E-3</c:v>
                </c:pt>
                <c:pt idx="6">
                  <c:v>-7.7955000015208498E-3</c:v>
                </c:pt>
                <c:pt idx="7">
                  <c:v>-7.6699999990523793E-3</c:v>
                </c:pt>
                <c:pt idx="14">
                  <c:v>-1.1104999997769482E-2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1-4C4E-ADA3-B679445AE6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-5.7919999962905422E-3</c:v>
                </c:pt>
                <c:pt idx="5">
                  <c:v>-7.2665000043343753E-3</c:v>
                </c:pt>
                <c:pt idx="8">
                  <c:v>-1.0073999997985084E-2</c:v>
                </c:pt>
                <c:pt idx="9">
                  <c:v>-9.8540000035427511E-3</c:v>
                </c:pt>
                <c:pt idx="10">
                  <c:v>-9.7739999982877634E-3</c:v>
                </c:pt>
                <c:pt idx="11">
                  <c:v>-1.0228499995719176E-2</c:v>
                </c:pt>
                <c:pt idx="12">
                  <c:v>-1.0068499992485158E-2</c:v>
                </c:pt>
                <c:pt idx="13">
                  <c:v>-1.0018499990110286E-2</c:v>
                </c:pt>
                <c:pt idx="15">
                  <c:v>-1.4150999995763414E-2</c:v>
                </c:pt>
                <c:pt idx="16">
                  <c:v>-1.4203499995346647E-2</c:v>
                </c:pt>
                <c:pt idx="17">
                  <c:v>-1.4067999996768776E-2</c:v>
                </c:pt>
                <c:pt idx="18">
                  <c:v>-1.5266999995219521E-2</c:v>
                </c:pt>
                <c:pt idx="19">
                  <c:v>-1.6681499997503124E-2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1-4C4E-ADA3-B679445AE6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31-4C4E-ADA3-B679445AE6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31-4C4E-ADA3-B679445AE6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5.9999999999999995E-4</c:v>
                  </c:pt>
                  <c:pt idx="5">
                    <c:v>1.8E-3</c:v>
                  </c:pt>
                  <c:pt idx="6">
                    <c:v>4.0000000000000002E-4</c:v>
                  </c:pt>
                  <c:pt idx="7">
                    <c:v>5.9999999999999995E-4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6.3E-3</c:v>
                  </c:pt>
                  <c:pt idx="15">
                    <c:v>2.0000000000000001E-4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31-4C4E-ADA3-B679445AE6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1.8826951717076205E-2</c:v>
                </c:pt>
                <c:pt idx="1">
                  <c:v>-7.3324578980588084E-3</c:v>
                </c:pt>
                <c:pt idx="2">
                  <c:v>-7.333115318320052E-3</c:v>
                </c:pt>
                <c:pt idx="3">
                  <c:v>-7.3337727385812956E-3</c:v>
                </c:pt>
                <c:pt idx="4">
                  <c:v>-7.4803774568385703E-3</c:v>
                </c:pt>
                <c:pt idx="5">
                  <c:v>-7.4810348770998139E-3</c:v>
                </c:pt>
                <c:pt idx="6">
                  <c:v>-7.6401305803207066E-3</c:v>
                </c:pt>
                <c:pt idx="7">
                  <c:v>-7.6407880005819502E-3</c:v>
                </c:pt>
                <c:pt idx="8">
                  <c:v>-9.6472346378967226E-3</c:v>
                </c:pt>
                <c:pt idx="9">
                  <c:v>-9.6472346378967226E-3</c:v>
                </c:pt>
                <c:pt idx="10">
                  <c:v>-9.6472346378967226E-3</c:v>
                </c:pt>
                <c:pt idx="11">
                  <c:v>-9.6478920581579662E-3</c:v>
                </c:pt>
                <c:pt idx="12">
                  <c:v>-9.6478920581579662E-3</c:v>
                </c:pt>
                <c:pt idx="13">
                  <c:v>-9.6478920581579662E-3</c:v>
                </c:pt>
                <c:pt idx="14">
                  <c:v>-1.1605032175879486E-2</c:v>
                </c:pt>
                <c:pt idx="15">
                  <c:v>-1.4042746504569908E-2</c:v>
                </c:pt>
                <c:pt idx="16">
                  <c:v>-1.4059182011100992E-2</c:v>
                </c:pt>
                <c:pt idx="17">
                  <c:v>-1.4059839431362235E-2</c:v>
                </c:pt>
                <c:pt idx="18">
                  <c:v>-1.6217492728762981E-2</c:v>
                </c:pt>
                <c:pt idx="19">
                  <c:v>-1.6218150149024224E-2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31-4C4E-ADA3-B679445AE6D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19895.5</c:v>
                </c:pt>
                <c:pt idx="2">
                  <c:v>19896</c:v>
                </c:pt>
                <c:pt idx="3">
                  <c:v>19896.5</c:v>
                </c:pt>
                <c:pt idx="4">
                  <c:v>20008</c:v>
                </c:pt>
                <c:pt idx="5">
                  <c:v>20008.5</c:v>
                </c:pt>
                <c:pt idx="6">
                  <c:v>20129.5</c:v>
                </c:pt>
                <c:pt idx="7">
                  <c:v>20130</c:v>
                </c:pt>
                <c:pt idx="8">
                  <c:v>21656</c:v>
                </c:pt>
                <c:pt idx="9">
                  <c:v>21656</c:v>
                </c:pt>
                <c:pt idx="10">
                  <c:v>21656</c:v>
                </c:pt>
                <c:pt idx="11">
                  <c:v>21656.5</c:v>
                </c:pt>
                <c:pt idx="12">
                  <c:v>21656.5</c:v>
                </c:pt>
                <c:pt idx="13">
                  <c:v>21656.5</c:v>
                </c:pt>
                <c:pt idx="14">
                  <c:v>23145</c:v>
                </c:pt>
                <c:pt idx="15">
                  <c:v>24999</c:v>
                </c:pt>
                <c:pt idx="16">
                  <c:v>25011.5</c:v>
                </c:pt>
                <c:pt idx="17">
                  <c:v>25012</c:v>
                </c:pt>
                <c:pt idx="18">
                  <c:v>26653</c:v>
                </c:pt>
                <c:pt idx="19">
                  <c:v>26653.5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31-4C4E-ADA3-B679445A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83624"/>
        <c:axId val="1"/>
      </c:scatterChart>
      <c:valAx>
        <c:axId val="680083624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715744092697826E-2"/>
              <c:y val="0.37427001804954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8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5676827773579559E-2"/>
          <c:y val="0.92397937099967764"/>
          <c:w val="0.825098703215624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85726</xdr:colOff>
      <xdr:row>0</xdr:row>
      <xdr:rowOff>0</xdr:rowOff>
    </xdr:from>
    <xdr:to>
      <xdr:col>17</xdr:col>
      <xdr:colOff>600076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1C25F1-E75E-FD0C-0A56-D66F35D4F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38099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3F2155-7121-4C44-89AD-83DC07F66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bav-astro.de/sfs/BAVM_link.php?BAVMnr=228" TargetMode="External"/><Relationship Id="rId7" Type="http://schemas.openxmlformats.org/officeDocument/2006/relationships/hyperlink" Target="http://www.bav-astro.de/sfs/BAVM_link.php?BAVMnr=231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sfs/BAVM_link.php?BAVMnr=228" TargetMode="External"/><Relationship Id="rId6" Type="http://schemas.openxmlformats.org/officeDocument/2006/relationships/hyperlink" Target="http://www.bav-astro.de/sfs/BAVM_link.php?BAVMnr=231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38</v>
      </c>
    </row>
    <row r="2" spans="1:6" ht="12.95" customHeight="1" x14ac:dyDescent="0.2">
      <c r="A2" t="s">
        <v>23</v>
      </c>
      <c r="B2" t="s">
        <v>39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6" t="s">
        <v>36</v>
      </c>
      <c r="D4" s="27" t="s">
        <v>36</v>
      </c>
    </row>
    <row r="5" spans="1:6" ht="12.95" customHeight="1" thickTop="1" x14ac:dyDescent="0.2">
      <c r="A5" s="9" t="s">
        <v>28</v>
      </c>
      <c r="B5" s="10"/>
      <c r="C5" s="11">
        <v>-9.5</v>
      </c>
      <c r="D5" s="10" t="s">
        <v>29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51">
        <v>51328.987999999998</v>
      </c>
      <c r="D7" s="28" t="s">
        <v>37</v>
      </c>
    </row>
    <row r="8" spans="1:6" ht="12.95" customHeight="1" x14ac:dyDescent="0.2">
      <c r="A8" t="s">
        <v>3</v>
      </c>
      <c r="C8" s="51">
        <v>0.235149</v>
      </c>
      <c r="D8" s="28" t="s">
        <v>37</v>
      </c>
    </row>
    <row r="9" spans="1:6" ht="12.95" customHeight="1" x14ac:dyDescent="0.2">
      <c r="A9" s="23" t="s">
        <v>31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INTERCEPT(INDIRECT($D$9):G992,INDIRECT($C$9):F992)</f>
        <v>1.8826951717076205E-2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SLOPE(INDIRECT($D$9):G992,INDIRECT($C$9):F992)</f>
        <v>-1.314840522486744E-6</v>
      </c>
      <c r="D12" s="3"/>
      <c r="E12" s="54" t="s">
        <v>118</v>
      </c>
      <c r="F12" s="55" t="s">
        <v>117</v>
      </c>
    </row>
    <row r="13" spans="1:6" ht="12.95" customHeight="1" x14ac:dyDescent="0.2">
      <c r="A13" s="10" t="s">
        <v>18</v>
      </c>
      <c r="B13" s="10"/>
      <c r="C13" s="3" t="s">
        <v>13</v>
      </c>
      <c r="E13" s="52" t="s">
        <v>33</v>
      </c>
      <c r="F13" s="56">
        <v>1</v>
      </c>
    </row>
    <row r="14" spans="1:6" ht="12.95" customHeight="1" x14ac:dyDescent="0.2">
      <c r="A14" s="10"/>
      <c r="B14" s="10"/>
      <c r="C14" s="10"/>
      <c r="E14" s="52" t="s">
        <v>30</v>
      </c>
      <c r="F14" s="57">
        <f ca="1">NOW()+15018.5+$C$5/24</f>
        <v>60532.810082523145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57596.398079507271</v>
      </c>
      <c r="E15" s="52" t="s">
        <v>34</v>
      </c>
      <c r="F15" s="57">
        <f ca="1">ROUND(2*($F$14-$C$7)/$C$8,0)/2+$F$13</f>
        <v>39141.5</v>
      </c>
    </row>
    <row r="16" spans="1:6" ht="12.95" customHeight="1" x14ac:dyDescent="0.2">
      <c r="A16" s="15" t="s">
        <v>4</v>
      </c>
      <c r="B16" s="10"/>
      <c r="C16" s="16">
        <f ca="1">+C8+C12</f>
        <v>0.23514768515947751</v>
      </c>
      <c r="E16" s="52" t="s">
        <v>35</v>
      </c>
      <c r="F16" s="57">
        <f ca="1">ROUND(2*($F$14-$C$15)/$C$16,0)/2+$F$13</f>
        <v>12488.5</v>
      </c>
    </row>
    <row r="17" spans="1:21" ht="12.95" customHeight="1" thickBot="1" x14ac:dyDescent="0.25">
      <c r="A17" s="14" t="s">
        <v>27</v>
      </c>
      <c r="B17" s="10"/>
      <c r="C17" s="10">
        <f>COUNT(C21:C2191)</f>
        <v>20</v>
      </c>
      <c r="E17" s="52" t="s">
        <v>115</v>
      </c>
      <c r="F17" s="58">
        <f ca="1">+$C$15+$C$16*$F$16-15018.5-$C$5/24</f>
        <v>45514.935778954743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57596.398079507271</v>
      </c>
      <c r="D18" s="19">
        <f ca="1">+C16</f>
        <v>0.23514768515947751</v>
      </c>
      <c r="E18" s="53" t="s">
        <v>116</v>
      </c>
      <c r="F18" s="59">
        <f ca="1">+($C$15+$C$16*$F$16)-($C$16/2)-15018.5-$C$5/24</f>
        <v>45514.818205112162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5" t="s">
        <v>32</v>
      </c>
    </row>
    <row r="21" spans="1:21" ht="12.95" customHeight="1" x14ac:dyDescent="0.2">
      <c r="A21" s="29" t="s">
        <v>37</v>
      </c>
      <c r="B21" s="29"/>
      <c r="C21" s="30">
        <f>C7</f>
        <v>51328.987999999998</v>
      </c>
      <c r="D21" s="30" t="s">
        <v>13</v>
      </c>
      <c r="E21">
        <f t="shared" ref="E21:E28" si="0">+(C21-C$7)/C$8</f>
        <v>0</v>
      </c>
      <c r="F21">
        <f t="shared" ref="F21:F40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1.8826951717076205E-2</v>
      </c>
      <c r="Q21" s="2">
        <f t="shared" ref="Q21:Q28" si="4">+C21-15018.5</f>
        <v>36310.487999999998</v>
      </c>
      <c r="R21" s="2"/>
      <c r="S21" s="2"/>
      <c r="T21" s="2"/>
    </row>
    <row r="22" spans="1:21" ht="12.95" customHeight="1" x14ac:dyDescent="0.2">
      <c r="A22" s="45" t="s">
        <v>43</v>
      </c>
      <c r="B22" s="31" t="s">
        <v>42</v>
      </c>
      <c r="C22" s="30">
        <v>56007.387699999999</v>
      </c>
      <c r="D22" s="30">
        <v>4.0000000000000002E-4</v>
      </c>
      <c r="E22" s="29">
        <f t="shared" si="0"/>
        <v>19895.469255663436</v>
      </c>
      <c r="F22">
        <f t="shared" si="1"/>
        <v>19895.5</v>
      </c>
      <c r="G22">
        <f t="shared" si="2"/>
        <v>-7.2294999990845099E-3</v>
      </c>
      <c r="J22">
        <f>+G22</f>
        <v>-7.2294999990845099E-3</v>
      </c>
      <c r="O22">
        <f t="shared" ca="1" si="3"/>
        <v>-7.3324578980588084E-3</v>
      </c>
      <c r="Q22" s="2">
        <f t="shared" si="4"/>
        <v>40988.887699999999</v>
      </c>
      <c r="R22" s="2"/>
      <c r="S22" s="2"/>
      <c r="T22" s="2"/>
    </row>
    <row r="23" spans="1:21" ht="12.95" customHeight="1" x14ac:dyDescent="0.2">
      <c r="A23" s="45" t="s">
        <v>43</v>
      </c>
      <c r="B23" s="31" t="s">
        <v>41</v>
      </c>
      <c r="C23" s="30">
        <v>56007.505599999997</v>
      </c>
      <c r="D23" s="30">
        <v>1.1999999999999999E-3</v>
      </c>
      <c r="E23" s="29">
        <f t="shared" si="0"/>
        <v>19895.970639892152</v>
      </c>
      <c r="F23">
        <f t="shared" si="1"/>
        <v>19896</v>
      </c>
      <c r="G23">
        <f t="shared" si="2"/>
        <v>-6.9040000016684644E-3</v>
      </c>
      <c r="J23">
        <f>+G23</f>
        <v>-6.9040000016684644E-3</v>
      </c>
      <c r="O23">
        <f t="shared" ca="1" si="3"/>
        <v>-7.333115318320052E-3</v>
      </c>
      <c r="Q23" s="2">
        <f t="shared" si="4"/>
        <v>40989.005599999997</v>
      </c>
      <c r="R23" s="2"/>
      <c r="S23" s="2"/>
      <c r="T23" s="2"/>
    </row>
    <row r="24" spans="1:21" ht="12.95" customHeight="1" x14ac:dyDescent="0.2">
      <c r="A24" s="45" t="s">
        <v>43</v>
      </c>
      <c r="B24" s="31" t="s">
        <v>42</v>
      </c>
      <c r="C24" s="30">
        <v>56007.621899999998</v>
      </c>
      <c r="D24" s="30">
        <v>2.0000000000000001E-4</v>
      </c>
      <c r="E24" s="29">
        <f t="shared" si="0"/>
        <v>19896.46521992439</v>
      </c>
      <c r="F24">
        <f t="shared" si="1"/>
        <v>19896.5</v>
      </c>
      <c r="G24">
        <f t="shared" si="2"/>
        <v>-8.1785000002128072E-3</v>
      </c>
      <c r="J24">
        <f>+G24</f>
        <v>-8.1785000002128072E-3</v>
      </c>
      <c r="O24">
        <f t="shared" ca="1" si="3"/>
        <v>-7.3337727385812956E-3</v>
      </c>
      <c r="Q24" s="2">
        <f t="shared" si="4"/>
        <v>40989.121899999998</v>
      </c>
      <c r="R24" s="2"/>
      <c r="S24" s="2"/>
      <c r="T24" s="2"/>
    </row>
    <row r="25" spans="1:21" ht="12.95" customHeight="1" x14ac:dyDescent="0.2">
      <c r="A25" s="30" t="s">
        <v>40</v>
      </c>
      <c r="B25" s="31" t="s">
        <v>41</v>
      </c>
      <c r="C25" s="30">
        <v>56033.843399999998</v>
      </c>
      <c r="D25" s="30">
        <v>5.9999999999999995E-4</v>
      </c>
      <c r="E25" s="29">
        <f t="shared" si="0"/>
        <v>20007.975368808715</v>
      </c>
      <c r="F25">
        <f t="shared" si="1"/>
        <v>20008</v>
      </c>
      <c r="G25">
        <f t="shared" si="2"/>
        <v>-5.7919999962905422E-3</v>
      </c>
      <c r="K25">
        <f>+G25</f>
        <v>-5.7919999962905422E-3</v>
      </c>
      <c r="O25">
        <f t="shared" ca="1" si="3"/>
        <v>-7.4803774568385703E-3</v>
      </c>
      <c r="Q25" s="2">
        <f t="shared" si="4"/>
        <v>41015.343399999998</v>
      </c>
      <c r="R25" s="2"/>
      <c r="S25" s="2"/>
      <c r="T25" s="2"/>
    </row>
    <row r="26" spans="1:21" ht="12.95" customHeight="1" x14ac:dyDescent="0.2">
      <c r="A26" s="30" t="s">
        <v>40</v>
      </c>
      <c r="B26" s="31" t="s">
        <v>42</v>
      </c>
      <c r="C26" s="30">
        <v>56033.959499999997</v>
      </c>
      <c r="D26" s="30">
        <v>1.8E-3</v>
      </c>
      <c r="E26" s="29">
        <f t="shared" si="0"/>
        <v>20008.469098316385</v>
      </c>
      <c r="F26">
        <f t="shared" si="1"/>
        <v>20008.5</v>
      </c>
      <c r="G26">
        <f t="shared" si="2"/>
        <v>-7.2665000043343753E-3</v>
      </c>
      <c r="K26">
        <f>+G26</f>
        <v>-7.2665000043343753E-3</v>
      </c>
      <c r="O26">
        <f t="shared" ca="1" si="3"/>
        <v>-7.4810348770998139E-3</v>
      </c>
      <c r="Q26" s="2">
        <f t="shared" si="4"/>
        <v>41015.459499999997</v>
      </c>
      <c r="R26" s="2"/>
      <c r="S26" s="2"/>
      <c r="T26" s="2"/>
    </row>
    <row r="27" spans="1:21" x14ac:dyDescent="0.2">
      <c r="A27" s="45" t="s">
        <v>44</v>
      </c>
      <c r="B27" s="31" t="s">
        <v>42</v>
      </c>
      <c r="C27" s="30">
        <v>56062.411999999997</v>
      </c>
      <c r="D27" s="30">
        <v>4.0000000000000002E-4</v>
      </c>
      <c r="E27" s="29">
        <f t="shared" si="0"/>
        <v>20129.46684867892</v>
      </c>
      <c r="F27">
        <f t="shared" si="1"/>
        <v>20129.5</v>
      </c>
      <c r="G27">
        <f t="shared" si="2"/>
        <v>-7.7955000015208498E-3</v>
      </c>
      <c r="J27">
        <f>+G27</f>
        <v>-7.7955000015208498E-3</v>
      </c>
      <c r="O27">
        <f t="shared" ca="1" si="3"/>
        <v>-7.6401305803207066E-3</v>
      </c>
      <c r="Q27" s="2">
        <f t="shared" si="4"/>
        <v>41043.911999999997</v>
      </c>
      <c r="R27" s="2"/>
      <c r="S27" s="2"/>
      <c r="T27" s="2"/>
    </row>
    <row r="28" spans="1:21" x14ac:dyDescent="0.2">
      <c r="A28" s="45" t="s">
        <v>44</v>
      </c>
      <c r="B28" s="31" t="s">
        <v>41</v>
      </c>
      <c r="C28" s="30">
        <v>56062.529699999999</v>
      </c>
      <c r="D28" s="30">
        <v>5.9999999999999995E-4</v>
      </c>
      <c r="E28" s="29">
        <f t="shared" si="0"/>
        <v>20129.967382383093</v>
      </c>
      <c r="F28">
        <f t="shared" si="1"/>
        <v>20130</v>
      </c>
      <c r="G28">
        <f t="shared" si="2"/>
        <v>-7.6699999990523793E-3</v>
      </c>
      <c r="J28">
        <f>+G28</f>
        <v>-7.6699999990523793E-3</v>
      </c>
      <c r="O28">
        <f t="shared" ca="1" si="3"/>
        <v>-7.6407880005819502E-3</v>
      </c>
      <c r="Q28" s="2">
        <f t="shared" si="4"/>
        <v>41044.029699999999</v>
      </c>
      <c r="R28" s="2"/>
      <c r="S28" s="2"/>
      <c r="T28" s="2"/>
    </row>
    <row r="29" spans="1:21" x14ac:dyDescent="0.2">
      <c r="A29" s="45" t="s">
        <v>45</v>
      </c>
      <c r="B29" s="31" t="s">
        <v>41</v>
      </c>
      <c r="C29" s="30">
        <v>56421.364670000003</v>
      </c>
      <c r="D29" s="30">
        <v>1E-4</v>
      </c>
      <c r="E29" s="29">
        <f t="shared" ref="E29:E40" si="5">+(C29-C$7)/C$8</f>
        <v>21655.957159077883</v>
      </c>
      <c r="F29">
        <f t="shared" si="1"/>
        <v>21656</v>
      </c>
      <c r="G29">
        <f t="shared" ref="G29:G40" si="6">+C29-(C$7+F29*C$8)</f>
        <v>-1.0073999997985084E-2</v>
      </c>
      <c r="K29">
        <f t="shared" ref="K29:K34" si="7">+G29</f>
        <v>-1.0073999997985084E-2</v>
      </c>
      <c r="O29">
        <f t="shared" ref="O29:O40" ca="1" si="8">+C$11+C$12*$F29</f>
        <v>-9.6472346378967226E-3</v>
      </c>
      <c r="Q29" s="2">
        <f t="shared" ref="Q29:Q40" si="9">+C29-15018.5</f>
        <v>41402.864670000003</v>
      </c>
      <c r="R29" s="2"/>
      <c r="S29" s="2"/>
      <c r="T29" s="2"/>
    </row>
    <row r="30" spans="1:21" x14ac:dyDescent="0.2">
      <c r="A30" s="45" t="s">
        <v>45</v>
      </c>
      <c r="B30" s="31" t="s">
        <v>41</v>
      </c>
      <c r="C30" s="30">
        <v>56421.364889999997</v>
      </c>
      <c r="D30" s="30">
        <v>2.0000000000000001E-4</v>
      </c>
      <c r="E30" s="29">
        <f t="shared" si="5"/>
        <v>21655.958094654878</v>
      </c>
      <c r="F30">
        <f t="shared" si="1"/>
        <v>21656</v>
      </c>
      <c r="G30">
        <f t="shared" si="6"/>
        <v>-9.8540000035427511E-3</v>
      </c>
      <c r="K30">
        <f t="shared" si="7"/>
        <v>-9.8540000035427511E-3</v>
      </c>
      <c r="O30">
        <f t="shared" ca="1" si="8"/>
        <v>-9.6472346378967226E-3</v>
      </c>
      <c r="Q30" s="2">
        <f t="shared" si="9"/>
        <v>41402.864889999997</v>
      </c>
      <c r="R30" s="2"/>
      <c r="S30" s="2"/>
      <c r="T30" s="2"/>
    </row>
    <row r="31" spans="1:21" x14ac:dyDescent="0.2">
      <c r="A31" s="45" t="s">
        <v>45</v>
      </c>
      <c r="B31" s="31" t="s">
        <v>41</v>
      </c>
      <c r="C31" s="30">
        <v>56421.364970000002</v>
      </c>
      <c r="D31" s="30">
        <v>1E-4</v>
      </c>
      <c r="E31" s="29">
        <f t="shared" si="5"/>
        <v>21655.958434864722</v>
      </c>
      <c r="F31">
        <f t="shared" si="1"/>
        <v>21656</v>
      </c>
      <c r="G31">
        <f t="shared" si="6"/>
        <v>-9.7739999982877634E-3</v>
      </c>
      <c r="K31">
        <f t="shared" si="7"/>
        <v>-9.7739999982877634E-3</v>
      </c>
      <c r="O31">
        <f t="shared" ca="1" si="8"/>
        <v>-9.6472346378967226E-3</v>
      </c>
      <c r="Q31" s="2">
        <f t="shared" si="9"/>
        <v>41402.864970000002</v>
      </c>
      <c r="R31" s="2"/>
      <c r="S31" s="2"/>
      <c r="T31" s="2"/>
    </row>
    <row r="32" spans="1:21" x14ac:dyDescent="0.2">
      <c r="A32" s="45" t="s">
        <v>45</v>
      </c>
      <c r="B32" s="31" t="s">
        <v>42</v>
      </c>
      <c r="C32" s="30">
        <v>56421.482089999998</v>
      </c>
      <c r="D32" s="30">
        <v>2.0000000000000001E-4</v>
      </c>
      <c r="E32" s="29">
        <f t="shared" si="5"/>
        <v>21656.45650204764</v>
      </c>
      <c r="F32">
        <f t="shared" si="1"/>
        <v>21656.5</v>
      </c>
      <c r="G32">
        <f t="shared" si="6"/>
        <v>-1.0228499995719176E-2</v>
      </c>
      <c r="K32">
        <f t="shared" si="7"/>
        <v>-1.0228499995719176E-2</v>
      </c>
      <c r="O32">
        <f t="shared" ca="1" si="8"/>
        <v>-9.6478920581579662E-3</v>
      </c>
      <c r="Q32" s="2">
        <f t="shared" si="9"/>
        <v>41402.982089999998</v>
      </c>
      <c r="R32" s="2"/>
      <c r="S32" s="2"/>
      <c r="T32" s="2"/>
    </row>
    <row r="33" spans="1:20" x14ac:dyDescent="0.2">
      <c r="A33" s="45" t="s">
        <v>45</v>
      </c>
      <c r="B33" s="31" t="s">
        <v>42</v>
      </c>
      <c r="C33" s="30">
        <v>56421.482250000001</v>
      </c>
      <c r="D33" s="30">
        <v>1E-4</v>
      </c>
      <c r="E33" s="29">
        <f t="shared" si="5"/>
        <v>21656.4571824673</v>
      </c>
      <c r="F33">
        <f t="shared" si="1"/>
        <v>21656.5</v>
      </c>
      <c r="G33">
        <f t="shared" si="6"/>
        <v>-1.0068499992485158E-2</v>
      </c>
      <c r="K33">
        <f t="shared" si="7"/>
        <v>-1.0068499992485158E-2</v>
      </c>
      <c r="O33">
        <f t="shared" ca="1" si="8"/>
        <v>-9.6478920581579662E-3</v>
      </c>
      <c r="Q33" s="2">
        <f t="shared" si="9"/>
        <v>41402.982250000001</v>
      </c>
      <c r="R33" s="2"/>
      <c r="S33" s="2"/>
      <c r="T33" s="2"/>
    </row>
    <row r="34" spans="1:20" x14ac:dyDescent="0.2">
      <c r="A34" s="45" t="s">
        <v>45</v>
      </c>
      <c r="B34" s="31" t="s">
        <v>42</v>
      </c>
      <c r="C34" s="30">
        <v>56421.482300000003</v>
      </c>
      <c r="D34" s="30">
        <v>1E-4</v>
      </c>
      <c r="E34" s="29">
        <f t="shared" si="5"/>
        <v>21656.457395098452</v>
      </c>
      <c r="F34">
        <f t="shared" si="1"/>
        <v>21656.5</v>
      </c>
      <c r="G34">
        <f t="shared" si="6"/>
        <v>-1.0018499990110286E-2</v>
      </c>
      <c r="K34">
        <f t="shared" si="7"/>
        <v>-1.0018499990110286E-2</v>
      </c>
      <c r="O34">
        <f t="shared" ca="1" si="8"/>
        <v>-9.6478920581579662E-3</v>
      </c>
      <c r="Q34" s="2">
        <f t="shared" si="9"/>
        <v>41402.982300000003</v>
      </c>
      <c r="R34" s="2"/>
      <c r="S34" s="2"/>
      <c r="T34" s="2"/>
    </row>
    <row r="35" spans="1:20" x14ac:dyDescent="0.2">
      <c r="A35" s="46" t="s">
        <v>46</v>
      </c>
      <c r="B35" s="47" t="s">
        <v>41</v>
      </c>
      <c r="C35" s="46">
        <v>56771.500500000002</v>
      </c>
      <c r="D35" s="46">
        <v>6.3E-3</v>
      </c>
      <c r="E35" s="29">
        <f t="shared" si="5"/>
        <v>23144.952774623769</v>
      </c>
      <c r="F35">
        <f t="shared" si="1"/>
        <v>23145</v>
      </c>
      <c r="G35">
        <f t="shared" si="6"/>
        <v>-1.1104999997769482E-2</v>
      </c>
      <c r="J35">
        <f>+G35</f>
        <v>-1.1104999997769482E-2</v>
      </c>
      <c r="O35">
        <f t="shared" ca="1" si="8"/>
        <v>-1.1605032175879486E-2</v>
      </c>
      <c r="Q35" s="2">
        <f t="shared" si="9"/>
        <v>41753.000500000002</v>
      </c>
      <c r="R35" s="2"/>
      <c r="S35" s="2"/>
      <c r="T35" s="2"/>
    </row>
    <row r="36" spans="1:20" x14ac:dyDescent="0.2">
      <c r="A36" s="48" t="s">
        <v>114</v>
      </c>
      <c r="B36" s="49" t="s">
        <v>41</v>
      </c>
      <c r="C36" s="50">
        <v>57207.4637</v>
      </c>
      <c r="D36" s="50">
        <v>2.0000000000000001E-4</v>
      </c>
      <c r="E36" s="29">
        <f t="shared" si="5"/>
        <v>24998.939821134696</v>
      </c>
      <c r="F36">
        <f t="shared" si="1"/>
        <v>24999</v>
      </c>
      <c r="G36">
        <f t="shared" si="6"/>
        <v>-1.4150999995763414E-2</v>
      </c>
      <c r="K36">
        <f>+G36</f>
        <v>-1.4150999995763414E-2</v>
      </c>
      <c r="O36">
        <f t="shared" ca="1" si="8"/>
        <v>-1.4042746504569908E-2</v>
      </c>
      <c r="Q36" s="2">
        <f t="shared" si="9"/>
        <v>42188.9637</v>
      </c>
    </row>
    <row r="37" spans="1:20" x14ac:dyDescent="0.2">
      <c r="A37" s="48" t="s">
        <v>114</v>
      </c>
      <c r="B37" s="49" t="s">
        <v>42</v>
      </c>
      <c r="C37" s="50">
        <v>57210.403010000002</v>
      </c>
      <c r="D37" s="50">
        <v>2.0000000000000001E-4</v>
      </c>
      <c r="E37" s="29">
        <f t="shared" si="5"/>
        <v>25011.439597872006</v>
      </c>
      <c r="F37">
        <f t="shared" si="1"/>
        <v>25011.5</v>
      </c>
      <c r="G37">
        <f t="shared" si="6"/>
        <v>-1.4203499995346647E-2</v>
      </c>
      <c r="K37">
        <f>+G37</f>
        <v>-1.4203499995346647E-2</v>
      </c>
      <c r="O37">
        <f t="shared" ca="1" si="8"/>
        <v>-1.4059182011100992E-2</v>
      </c>
      <c r="Q37" s="2">
        <f t="shared" si="9"/>
        <v>42191.903010000002</v>
      </c>
    </row>
    <row r="38" spans="1:20" x14ac:dyDescent="0.2">
      <c r="A38" s="48" t="s">
        <v>114</v>
      </c>
      <c r="B38" s="49" t="s">
        <v>41</v>
      </c>
      <c r="C38" s="50">
        <v>57210.52072</v>
      </c>
      <c r="D38" s="50">
        <v>1E-4</v>
      </c>
      <c r="E38" s="29">
        <f t="shared" si="5"/>
        <v>25011.94017410239</v>
      </c>
      <c r="F38">
        <f t="shared" si="1"/>
        <v>25012</v>
      </c>
      <c r="G38">
        <f t="shared" si="6"/>
        <v>-1.4067999996768776E-2</v>
      </c>
      <c r="K38">
        <f>+G38</f>
        <v>-1.4067999996768776E-2</v>
      </c>
      <c r="O38">
        <f t="shared" ca="1" si="8"/>
        <v>-1.4059839431362235E-2</v>
      </c>
      <c r="Q38" s="2">
        <f t="shared" si="9"/>
        <v>42192.02072</v>
      </c>
    </row>
    <row r="39" spans="1:20" x14ac:dyDescent="0.2">
      <c r="A39" s="48" t="s">
        <v>114</v>
      </c>
      <c r="B39" s="49" t="s">
        <v>41</v>
      </c>
      <c r="C39" s="50">
        <v>57596.39903</v>
      </c>
      <c r="D39" s="50">
        <v>1E-4</v>
      </c>
      <c r="E39" s="29">
        <f t="shared" si="5"/>
        <v>26652.935075207646</v>
      </c>
      <c r="F39">
        <f t="shared" si="1"/>
        <v>26653</v>
      </c>
      <c r="G39">
        <f t="shared" si="6"/>
        <v>-1.5266999995219521E-2</v>
      </c>
      <c r="K39">
        <f>+G39</f>
        <v>-1.5266999995219521E-2</v>
      </c>
      <c r="O39">
        <f t="shared" ca="1" si="8"/>
        <v>-1.6217492728762981E-2</v>
      </c>
      <c r="Q39" s="2">
        <f t="shared" si="9"/>
        <v>42577.89903</v>
      </c>
    </row>
    <row r="40" spans="1:20" x14ac:dyDescent="0.2">
      <c r="A40" s="48" t="s">
        <v>114</v>
      </c>
      <c r="B40" s="49" t="s">
        <v>42</v>
      </c>
      <c r="C40" s="50">
        <v>57596.515189999998</v>
      </c>
      <c r="D40" s="50">
        <v>5.0000000000000001E-4</v>
      </c>
      <c r="E40" s="29">
        <f t="shared" si="5"/>
        <v>26653.42905987268</v>
      </c>
      <c r="F40">
        <f t="shared" si="1"/>
        <v>26653.5</v>
      </c>
      <c r="G40">
        <f t="shared" si="6"/>
        <v>-1.6681499997503124E-2</v>
      </c>
      <c r="K40">
        <f>+G40</f>
        <v>-1.6681499997503124E-2</v>
      </c>
      <c r="O40">
        <f t="shared" ca="1" si="8"/>
        <v>-1.6218150149024224E-2</v>
      </c>
      <c r="Q40" s="2">
        <f t="shared" si="9"/>
        <v>42578.015189999998</v>
      </c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61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1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47</v>
      </c>
      <c r="I1" s="33" t="s">
        <v>48</v>
      </c>
      <c r="J1" s="34" t="s">
        <v>49</v>
      </c>
    </row>
    <row r="2" spans="1:16" x14ac:dyDescent="0.2">
      <c r="I2" s="35" t="s">
        <v>50</v>
      </c>
      <c r="J2" s="36" t="s">
        <v>51</v>
      </c>
    </row>
    <row r="3" spans="1:16" x14ac:dyDescent="0.2">
      <c r="A3" s="37" t="s">
        <v>52</v>
      </c>
      <c r="I3" s="35" t="s">
        <v>53</v>
      </c>
      <c r="J3" s="36" t="s">
        <v>54</v>
      </c>
    </row>
    <row r="4" spans="1:16" x14ac:dyDescent="0.2">
      <c r="I4" s="35" t="s">
        <v>55</v>
      </c>
      <c r="J4" s="36" t="s">
        <v>54</v>
      </c>
    </row>
    <row r="5" spans="1:16" ht="13.5" thickBot="1" x14ac:dyDescent="0.25">
      <c r="I5" s="38" t="s">
        <v>56</v>
      </c>
      <c r="J5" s="39" t="s">
        <v>57</v>
      </c>
    </row>
    <row r="10" spans="1:16" ht="13.5" thickBot="1" x14ac:dyDescent="0.25"/>
    <row r="11" spans="1:16" ht="12.75" customHeight="1" thickBot="1" x14ac:dyDescent="0.25">
      <c r="A11" s="8" t="str">
        <f t="shared" ref="A11:A23" si="0">P11</f>
        <v>BAVM 228 </v>
      </c>
      <c r="B11" s="3" t="str">
        <f t="shared" ref="B11:B23" si="1">IF(H11=INT(H11),"I","II")</f>
        <v>II</v>
      </c>
      <c r="C11" s="8">
        <f t="shared" ref="C11:C23" si="2">1*G11</f>
        <v>56007.387699999999</v>
      </c>
      <c r="D11" s="10" t="str">
        <f t="shared" ref="D11:D23" si="3">VLOOKUP(F11,I$1:J$5,2,FALSE)</f>
        <v>vis</v>
      </c>
      <c r="E11" s="40">
        <f>VLOOKUP(C11,Active!C$21:E$973,3,FALSE)</f>
        <v>19895.469255663436</v>
      </c>
      <c r="F11" s="3" t="s">
        <v>56</v>
      </c>
      <c r="G11" s="10" t="str">
        <f t="shared" ref="G11:G23" si="4">MID(I11,3,LEN(I11)-3)</f>
        <v>56007.3877</v>
      </c>
      <c r="H11" s="8">
        <f t="shared" ref="H11:H23" si="5">1*K11</f>
        <v>19895.5</v>
      </c>
      <c r="I11" s="41" t="s">
        <v>58</v>
      </c>
      <c r="J11" s="42" t="s">
        <v>59</v>
      </c>
      <c r="K11" s="41">
        <v>19895.5</v>
      </c>
      <c r="L11" s="41" t="s">
        <v>60</v>
      </c>
      <c r="M11" s="42" t="s">
        <v>61</v>
      </c>
      <c r="N11" s="42" t="s">
        <v>62</v>
      </c>
      <c r="O11" s="43" t="s">
        <v>63</v>
      </c>
      <c r="P11" s="44" t="s">
        <v>64</v>
      </c>
    </row>
    <row r="12" spans="1:16" ht="12.75" customHeight="1" thickBot="1" x14ac:dyDescent="0.25">
      <c r="A12" s="8" t="str">
        <f t="shared" si="0"/>
        <v>BAVM 228 </v>
      </c>
      <c r="B12" s="3" t="str">
        <f t="shared" si="1"/>
        <v>I</v>
      </c>
      <c r="C12" s="8">
        <f t="shared" si="2"/>
        <v>56007.505599999997</v>
      </c>
      <c r="D12" s="10" t="str">
        <f t="shared" si="3"/>
        <v>vis</v>
      </c>
      <c r="E12" s="40">
        <f>VLOOKUP(C12,Active!C$21:E$973,3,FALSE)</f>
        <v>19895.970639892152</v>
      </c>
      <c r="F12" s="3" t="s">
        <v>56</v>
      </c>
      <c r="G12" s="10" t="str">
        <f t="shared" si="4"/>
        <v>56007.5056</v>
      </c>
      <c r="H12" s="8">
        <f t="shared" si="5"/>
        <v>19896</v>
      </c>
      <c r="I12" s="41" t="s">
        <v>65</v>
      </c>
      <c r="J12" s="42" t="s">
        <v>66</v>
      </c>
      <c r="K12" s="41" t="s">
        <v>67</v>
      </c>
      <c r="L12" s="41" t="s">
        <v>68</v>
      </c>
      <c r="M12" s="42" t="s">
        <v>61</v>
      </c>
      <c r="N12" s="42" t="s">
        <v>62</v>
      </c>
      <c r="O12" s="43" t="s">
        <v>63</v>
      </c>
      <c r="P12" s="44" t="s">
        <v>64</v>
      </c>
    </row>
    <row r="13" spans="1:16" ht="12.75" customHeight="1" thickBot="1" x14ac:dyDescent="0.25">
      <c r="A13" s="8" t="str">
        <f t="shared" si="0"/>
        <v>BAVM 228 </v>
      </c>
      <c r="B13" s="3" t="str">
        <f t="shared" si="1"/>
        <v>II</v>
      </c>
      <c r="C13" s="8">
        <f t="shared" si="2"/>
        <v>56007.621899999998</v>
      </c>
      <c r="D13" s="10" t="str">
        <f t="shared" si="3"/>
        <v>vis</v>
      </c>
      <c r="E13" s="40">
        <f>VLOOKUP(C13,Active!C$21:E$973,3,FALSE)</f>
        <v>19896.46521992439</v>
      </c>
      <c r="F13" s="3" t="s">
        <v>56</v>
      </c>
      <c r="G13" s="10" t="str">
        <f t="shared" si="4"/>
        <v>56007.6219</v>
      </c>
      <c r="H13" s="8">
        <f t="shared" si="5"/>
        <v>19896.5</v>
      </c>
      <c r="I13" s="41" t="s">
        <v>69</v>
      </c>
      <c r="J13" s="42" t="s">
        <v>70</v>
      </c>
      <c r="K13" s="41" t="s">
        <v>71</v>
      </c>
      <c r="L13" s="41" t="s">
        <v>72</v>
      </c>
      <c r="M13" s="42" t="s">
        <v>61</v>
      </c>
      <c r="N13" s="42" t="s">
        <v>62</v>
      </c>
      <c r="O13" s="43" t="s">
        <v>63</v>
      </c>
      <c r="P13" s="44" t="s">
        <v>64</v>
      </c>
    </row>
    <row r="14" spans="1:16" ht="12.75" customHeight="1" thickBot="1" x14ac:dyDescent="0.25">
      <c r="A14" s="8" t="str">
        <f t="shared" si="0"/>
        <v>IBVS 6029 </v>
      </c>
      <c r="B14" s="3" t="str">
        <f t="shared" si="1"/>
        <v>I</v>
      </c>
      <c r="C14" s="8">
        <f t="shared" si="2"/>
        <v>56033.843399999998</v>
      </c>
      <c r="D14" s="10" t="str">
        <f t="shared" si="3"/>
        <v>vis</v>
      </c>
      <c r="E14" s="40">
        <f>VLOOKUP(C14,Active!C$21:E$973,3,FALSE)</f>
        <v>20007.975368808715</v>
      </c>
      <c r="F14" s="3" t="s">
        <v>56</v>
      </c>
      <c r="G14" s="10" t="str">
        <f t="shared" si="4"/>
        <v>56033.8434</v>
      </c>
      <c r="H14" s="8">
        <f t="shared" si="5"/>
        <v>20008</v>
      </c>
      <c r="I14" s="41" t="s">
        <v>73</v>
      </c>
      <c r="J14" s="42" t="s">
        <v>74</v>
      </c>
      <c r="K14" s="41" t="s">
        <v>75</v>
      </c>
      <c r="L14" s="41" t="s">
        <v>76</v>
      </c>
      <c r="M14" s="42" t="s">
        <v>61</v>
      </c>
      <c r="N14" s="42" t="s">
        <v>56</v>
      </c>
      <c r="O14" s="43" t="s">
        <v>77</v>
      </c>
      <c r="P14" s="44" t="s">
        <v>78</v>
      </c>
    </row>
    <row r="15" spans="1:16" ht="12.75" customHeight="1" thickBot="1" x14ac:dyDescent="0.25">
      <c r="A15" s="8" t="str">
        <f t="shared" si="0"/>
        <v>IBVS 6029 </v>
      </c>
      <c r="B15" s="3" t="str">
        <f t="shared" si="1"/>
        <v>II</v>
      </c>
      <c r="C15" s="8">
        <f t="shared" si="2"/>
        <v>56033.959499999997</v>
      </c>
      <c r="D15" s="10" t="str">
        <f t="shared" si="3"/>
        <v>vis</v>
      </c>
      <c r="E15" s="40">
        <f>VLOOKUP(C15,Active!C$21:E$973,3,FALSE)</f>
        <v>20008.469098316385</v>
      </c>
      <c r="F15" s="3" t="s">
        <v>56</v>
      </c>
      <c r="G15" s="10" t="str">
        <f t="shared" si="4"/>
        <v>56033.9595</v>
      </c>
      <c r="H15" s="8">
        <f t="shared" si="5"/>
        <v>20008.5</v>
      </c>
      <c r="I15" s="41" t="s">
        <v>79</v>
      </c>
      <c r="J15" s="42" t="s">
        <v>80</v>
      </c>
      <c r="K15" s="41" t="s">
        <v>81</v>
      </c>
      <c r="L15" s="41" t="s">
        <v>82</v>
      </c>
      <c r="M15" s="42" t="s">
        <v>61</v>
      </c>
      <c r="N15" s="42" t="s">
        <v>56</v>
      </c>
      <c r="O15" s="43" t="s">
        <v>77</v>
      </c>
      <c r="P15" s="44" t="s">
        <v>78</v>
      </c>
    </row>
    <row r="16" spans="1:16" ht="12.75" customHeight="1" thickBot="1" x14ac:dyDescent="0.25">
      <c r="A16" s="8" t="str">
        <f t="shared" si="0"/>
        <v>BAVM 231 </v>
      </c>
      <c r="B16" s="3" t="str">
        <f t="shared" si="1"/>
        <v>II</v>
      </c>
      <c r="C16" s="8">
        <f t="shared" si="2"/>
        <v>56062.411999999997</v>
      </c>
      <c r="D16" s="10" t="str">
        <f t="shared" si="3"/>
        <v>vis</v>
      </c>
      <c r="E16" s="40">
        <f>VLOOKUP(C16,Active!C$21:E$973,3,FALSE)</f>
        <v>20129.46684867892</v>
      </c>
      <c r="F16" s="3" t="s">
        <v>56</v>
      </c>
      <c r="G16" s="10" t="str">
        <f t="shared" si="4"/>
        <v>56062.4120</v>
      </c>
      <c r="H16" s="8">
        <f t="shared" si="5"/>
        <v>20129.5</v>
      </c>
      <c r="I16" s="41" t="s">
        <v>83</v>
      </c>
      <c r="J16" s="42" t="s">
        <v>84</v>
      </c>
      <c r="K16" s="41" t="s">
        <v>85</v>
      </c>
      <c r="L16" s="41" t="s">
        <v>86</v>
      </c>
      <c r="M16" s="42" t="s">
        <v>61</v>
      </c>
      <c r="N16" s="42" t="s">
        <v>62</v>
      </c>
      <c r="O16" s="43" t="s">
        <v>63</v>
      </c>
      <c r="P16" s="44" t="s">
        <v>87</v>
      </c>
    </row>
    <row r="17" spans="1:16" ht="12.75" customHeight="1" thickBot="1" x14ac:dyDescent="0.25">
      <c r="A17" s="8" t="str">
        <f t="shared" si="0"/>
        <v>BAVM 231 </v>
      </c>
      <c r="B17" s="3" t="str">
        <f t="shared" si="1"/>
        <v>I</v>
      </c>
      <c r="C17" s="8">
        <f t="shared" si="2"/>
        <v>56062.529699999999</v>
      </c>
      <c r="D17" s="10" t="str">
        <f t="shared" si="3"/>
        <v>vis</v>
      </c>
      <c r="E17" s="40">
        <f>VLOOKUP(C17,Active!C$21:E$973,3,FALSE)</f>
        <v>20129.967382383093</v>
      </c>
      <c r="F17" s="3" t="s">
        <v>56</v>
      </c>
      <c r="G17" s="10" t="str">
        <f t="shared" si="4"/>
        <v>56062.5297</v>
      </c>
      <c r="H17" s="8">
        <f t="shared" si="5"/>
        <v>20130</v>
      </c>
      <c r="I17" s="41" t="s">
        <v>88</v>
      </c>
      <c r="J17" s="42" t="s">
        <v>89</v>
      </c>
      <c r="K17" s="41" t="s">
        <v>90</v>
      </c>
      <c r="L17" s="41" t="s">
        <v>91</v>
      </c>
      <c r="M17" s="42" t="s">
        <v>61</v>
      </c>
      <c r="N17" s="42" t="s">
        <v>62</v>
      </c>
      <c r="O17" s="43" t="s">
        <v>63</v>
      </c>
      <c r="P17" s="44" t="s">
        <v>87</v>
      </c>
    </row>
    <row r="18" spans="1:16" ht="12.75" customHeight="1" thickBot="1" x14ac:dyDescent="0.25">
      <c r="A18" s="8" t="str">
        <f t="shared" si="0"/>
        <v>OEJV 0160 </v>
      </c>
      <c r="B18" s="3" t="str">
        <f t="shared" si="1"/>
        <v>I</v>
      </c>
      <c r="C18" s="8">
        <f t="shared" si="2"/>
        <v>56421.364889999997</v>
      </c>
      <c r="D18" s="10" t="str">
        <f t="shared" si="3"/>
        <v>vis</v>
      </c>
      <c r="E18" s="40">
        <f>VLOOKUP(C18,Active!C$21:E$973,3,FALSE)</f>
        <v>21655.958094654878</v>
      </c>
      <c r="F18" s="3" t="s">
        <v>56</v>
      </c>
      <c r="G18" s="10" t="str">
        <f t="shared" si="4"/>
        <v>56421.36489</v>
      </c>
      <c r="H18" s="8">
        <f t="shared" si="5"/>
        <v>21656</v>
      </c>
      <c r="I18" s="41" t="s">
        <v>92</v>
      </c>
      <c r="J18" s="42" t="s">
        <v>93</v>
      </c>
      <c r="K18" s="41" t="s">
        <v>94</v>
      </c>
      <c r="L18" s="41" t="s">
        <v>95</v>
      </c>
      <c r="M18" s="42" t="s">
        <v>61</v>
      </c>
      <c r="N18" s="42" t="s">
        <v>56</v>
      </c>
      <c r="O18" s="43" t="s">
        <v>96</v>
      </c>
      <c r="P18" s="44" t="s">
        <v>97</v>
      </c>
    </row>
    <row r="19" spans="1:16" ht="12.75" customHeight="1" thickBot="1" x14ac:dyDescent="0.25">
      <c r="A19" s="8" t="str">
        <f t="shared" si="0"/>
        <v>OEJV 0160 </v>
      </c>
      <c r="B19" s="3" t="str">
        <f t="shared" si="1"/>
        <v>I</v>
      </c>
      <c r="C19" s="8">
        <f t="shared" si="2"/>
        <v>56421.364970000002</v>
      </c>
      <c r="D19" s="10" t="str">
        <f t="shared" si="3"/>
        <v>vis</v>
      </c>
      <c r="E19" s="40">
        <f>VLOOKUP(C19,Active!C$21:E$973,3,FALSE)</f>
        <v>21655.958434864722</v>
      </c>
      <c r="F19" s="3" t="s">
        <v>56</v>
      </c>
      <c r="G19" s="10" t="str">
        <f t="shared" si="4"/>
        <v>56421.36497</v>
      </c>
      <c r="H19" s="8">
        <f t="shared" si="5"/>
        <v>21656</v>
      </c>
      <c r="I19" s="41" t="s">
        <v>98</v>
      </c>
      <c r="J19" s="42" t="s">
        <v>93</v>
      </c>
      <c r="K19" s="41" t="s">
        <v>94</v>
      </c>
      <c r="L19" s="41" t="s">
        <v>99</v>
      </c>
      <c r="M19" s="42" t="s">
        <v>61</v>
      </c>
      <c r="N19" s="42" t="s">
        <v>41</v>
      </c>
      <c r="O19" s="43" t="s">
        <v>96</v>
      </c>
      <c r="P19" s="44" t="s">
        <v>97</v>
      </c>
    </row>
    <row r="20" spans="1:16" ht="12.75" customHeight="1" thickBot="1" x14ac:dyDescent="0.25">
      <c r="A20" s="8" t="str">
        <f t="shared" si="0"/>
        <v>OEJV 0160 </v>
      </c>
      <c r="B20" s="3" t="str">
        <f t="shared" si="1"/>
        <v>II</v>
      </c>
      <c r="C20" s="8">
        <f t="shared" si="2"/>
        <v>56421.482089999998</v>
      </c>
      <c r="D20" s="10" t="str">
        <f t="shared" si="3"/>
        <v>vis</v>
      </c>
      <c r="E20" s="40">
        <f>VLOOKUP(C20,Active!C$21:E$973,3,FALSE)</f>
        <v>21656.45650204764</v>
      </c>
      <c r="F20" s="3" t="s">
        <v>56</v>
      </c>
      <c r="G20" s="10" t="str">
        <f t="shared" si="4"/>
        <v>56421.48209</v>
      </c>
      <c r="H20" s="8">
        <f t="shared" si="5"/>
        <v>21656.5</v>
      </c>
      <c r="I20" s="41" t="s">
        <v>100</v>
      </c>
      <c r="J20" s="42" t="s">
        <v>101</v>
      </c>
      <c r="K20" s="41" t="s">
        <v>102</v>
      </c>
      <c r="L20" s="41" t="s">
        <v>103</v>
      </c>
      <c r="M20" s="42" t="s">
        <v>61</v>
      </c>
      <c r="N20" s="42" t="s">
        <v>41</v>
      </c>
      <c r="O20" s="43" t="s">
        <v>96</v>
      </c>
      <c r="P20" s="44" t="s">
        <v>97</v>
      </c>
    </row>
    <row r="21" spans="1:16" ht="12.75" customHeight="1" thickBot="1" x14ac:dyDescent="0.25">
      <c r="A21" s="8" t="str">
        <f t="shared" si="0"/>
        <v>OEJV 0160 </v>
      </c>
      <c r="B21" s="3" t="str">
        <f t="shared" si="1"/>
        <v>II</v>
      </c>
      <c r="C21" s="8">
        <f t="shared" si="2"/>
        <v>56421.482250000001</v>
      </c>
      <c r="D21" s="10" t="str">
        <f t="shared" si="3"/>
        <v>vis</v>
      </c>
      <c r="E21" s="40">
        <f>VLOOKUP(C21,Active!C$21:E$973,3,FALSE)</f>
        <v>21656.4571824673</v>
      </c>
      <c r="F21" s="3" t="s">
        <v>56</v>
      </c>
      <c r="G21" s="10" t="str">
        <f t="shared" si="4"/>
        <v>56421.48225</v>
      </c>
      <c r="H21" s="8">
        <f t="shared" si="5"/>
        <v>21656.5</v>
      </c>
      <c r="I21" s="41" t="s">
        <v>104</v>
      </c>
      <c r="J21" s="42" t="s">
        <v>101</v>
      </c>
      <c r="K21" s="41" t="s">
        <v>102</v>
      </c>
      <c r="L21" s="41" t="s">
        <v>105</v>
      </c>
      <c r="M21" s="42" t="s">
        <v>61</v>
      </c>
      <c r="N21" s="42" t="s">
        <v>106</v>
      </c>
      <c r="O21" s="43" t="s">
        <v>96</v>
      </c>
      <c r="P21" s="44" t="s">
        <v>97</v>
      </c>
    </row>
    <row r="22" spans="1:16" ht="12.75" customHeight="1" thickBot="1" x14ac:dyDescent="0.25">
      <c r="A22" s="8" t="str">
        <f t="shared" si="0"/>
        <v>OEJV 0160 </v>
      </c>
      <c r="B22" s="3" t="str">
        <f t="shared" si="1"/>
        <v>II</v>
      </c>
      <c r="C22" s="8">
        <f t="shared" si="2"/>
        <v>56421.482300000003</v>
      </c>
      <c r="D22" s="10" t="str">
        <f t="shared" si="3"/>
        <v>vis</v>
      </c>
      <c r="E22" s="40">
        <f>VLOOKUP(C22,Active!C$21:E$973,3,FALSE)</f>
        <v>21656.457395098452</v>
      </c>
      <c r="F22" s="3" t="s">
        <v>56</v>
      </c>
      <c r="G22" s="10" t="str">
        <f t="shared" si="4"/>
        <v>56421.4823</v>
      </c>
      <c r="H22" s="8">
        <f t="shared" si="5"/>
        <v>21656.5</v>
      </c>
      <c r="I22" s="41" t="s">
        <v>107</v>
      </c>
      <c r="J22" s="42" t="s">
        <v>101</v>
      </c>
      <c r="K22" s="41" t="s">
        <v>102</v>
      </c>
      <c r="L22" s="41" t="s">
        <v>108</v>
      </c>
      <c r="M22" s="42" t="s">
        <v>61</v>
      </c>
      <c r="N22" s="42" t="s">
        <v>56</v>
      </c>
      <c r="O22" s="43" t="s">
        <v>96</v>
      </c>
      <c r="P22" s="44" t="s">
        <v>97</v>
      </c>
    </row>
    <row r="23" spans="1:16" ht="12.75" customHeight="1" thickBot="1" x14ac:dyDescent="0.25">
      <c r="A23" s="8" t="str">
        <f t="shared" si="0"/>
        <v>BAVM 238 </v>
      </c>
      <c r="B23" s="3" t="str">
        <f t="shared" si="1"/>
        <v>I</v>
      </c>
      <c r="C23" s="8">
        <f t="shared" si="2"/>
        <v>56771.500500000002</v>
      </c>
      <c r="D23" s="10" t="str">
        <f t="shared" si="3"/>
        <v>vis</v>
      </c>
      <c r="E23" s="40">
        <f>VLOOKUP(C23,Active!C$21:E$973,3,FALSE)</f>
        <v>23144.952774623769</v>
      </c>
      <c r="F23" s="3" t="s">
        <v>56</v>
      </c>
      <c r="G23" s="10" t="str">
        <f t="shared" si="4"/>
        <v>56771.5005</v>
      </c>
      <c r="H23" s="8">
        <f t="shared" si="5"/>
        <v>23145</v>
      </c>
      <c r="I23" s="41" t="s">
        <v>109</v>
      </c>
      <c r="J23" s="42" t="s">
        <v>110</v>
      </c>
      <c r="K23" s="41" t="s">
        <v>111</v>
      </c>
      <c r="L23" s="41" t="s">
        <v>112</v>
      </c>
      <c r="M23" s="42" t="s">
        <v>61</v>
      </c>
      <c r="N23" s="42" t="s">
        <v>62</v>
      </c>
      <c r="O23" s="43" t="s">
        <v>63</v>
      </c>
      <c r="P23" s="44" t="s">
        <v>113</v>
      </c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</sheetData>
  <phoneticPr fontId="7" type="noConversion"/>
  <hyperlinks>
    <hyperlink ref="P11" r:id="rId1" display="http://www.bav-astro.de/sfs/BAVM_link.php?BAVMnr=228" xr:uid="{00000000-0004-0000-0100-000000000000}"/>
    <hyperlink ref="P12" r:id="rId2" display="http://www.bav-astro.de/sfs/BAVM_link.php?BAVMnr=228" xr:uid="{00000000-0004-0000-0100-000001000000}"/>
    <hyperlink ref="P13" r:id="rId3" display="http://www.bav-astro.de/sfs/BAVM_link.php?BAVMnr=228" xr:uid="{00000000-0004-0000-0100-000002000000}"/>
    <hyperlink ref="P14" r:id="rId4" display="http://www.konkoly.hu/cgi-bin/IBVS?6029" xr:uid="{00000000-0004-0000-0100-000003000000}"/>
    <hyperlink ref="P15" r:id="rId5" display="http://www.konkoly.hu/cgi-bin/IBVS?6029" xr:uid="{00000000-0004-0000-0100-000004000000}"/>
    <hyperlink ref="P16" r:id="rId6" display="http://www.bav-astro.de/sfs/BAVM_link.php?BAVMnr=231" xr:uid="{00000000-0004-0000-0100-000005000000}"/>
    <hyperlink ref="P17" r:id="rId7" display="http://www.bav-astro.de/sfs/BAVM_link.php?BAVMnr=231" xr:uid="{00000000-0004-0000-0100-000006000000}"/>
    <hyperlink ref="P18" r:id="rId8" display="http://var.astro.cz/oejv/issues/oejv0160.pdf" xr:uid="{00000000-0004-0000-0100-000007000000}"/>
    <hyperlink ref="P19" r:id="rId9" display="http://var.astro.cz/oejv/issues/oejv0160.pdf" xr:uid="{00000000-0004-0000-0100-000008000000}"/>
    <hyperlink ref="P20" r:id="rId10" display="http://var.astro.cz/oejv/issues/oejv0160.pdf" xr:uid="{00000000-0004-0000-0100-000009000000}"/>
    <hyperlink ref="P21" r:id="rId11" display="http://var.astro.cz/oejv/issues/oejv0160.pdf" xr:uid="{00000000-0004-0000-0100-00000A000000}"/>
    <hyperlink ref="P22" r:id="rId12" display="http://var.astro.cz/oejv/issues/oejv0160.pdf" xr:uid="{00000000-0004-0000-0100-00000B000000}"/>
    <hyperlink ref="P23" r:id="rId13" display="http://www.bav-astro.de/sfs/BAVM_link.php?BAVMnr=238" xr:uid="{00000000-0004-0000-0100-00000C000000}"/>
  </hyperlinks>
  <pageMargins left="0.75" right="0.75" top="1" bottom="1" header="0.5" footer="0.5"/>
  <pageSetup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2024-08-10T07:26:31Z</dcterms:modified>
</cp:coreProperties>
</file>