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B7C28EE-D25B-4782-876E-C42690EE6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5" i="1"/>
  <c r="F25" i="1"/>
  <c r="G25" i="1"/>
  <c r="K25" i="1"/>
  <c r="D9" i="1"/>
  <c r="C9" i="1"/>
  <c r="E22" i="1"/>
  <c r="F22" i="1"/>
  <c r="G22" i="1"/>
  <c r="E23" i="1"/>
  <c r="F23" i="1"/>
  <c r="G23" i="1"/>
  <c r="J23" i="1"/>
  <c r="E24" i="1"/>
  <c r="F24" i="1"/>
  <c r="G24" i="1"/>
  <c r="J24" i="1"/>
  <c r="Q25" i="1"/>
  <c r="Q24" i="1"/>
  <c r="Q23" i="1"/>
  <c r="K22" i="1"/>
  <c r="Q22" i="1"/>
  <c r="C21" i="1"/>
  <c r="Q21" i="1"/>
  <c r="E21" i="1"/>
  <c r="F21" i="1"/>
  <c r="G21" i="1"/>
  <c r="I21" i="1"/>
  <c r="C17" i="1"/>
  <c r="C11" i="1"/>
  <c r="C12" i="1"/>
  <c r="C16" i="1" l="1"/>
  <c r="D18" i="1" s="1"/>
  <c r="C15" i="1"/>
  <c r="O24" i="1"/>
  <c r="O21" i="1"/>
  <c r="O23" i="1"/>
  <c r="O2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<sst xmlns="http://schemas.openxmlformats.org/spreadsheetml/2006/main" count="60" uniqueCount="55">
  <si>
    <t>PE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</si>
  <si>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</si>
  <si>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</si>
  <si>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</si>
  <si>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</si>
  <si>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</si>
  <si>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</si>
  <si>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</si>
  <si>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</si>
  <si>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</si>
  <si>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</si>
  <si>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</si>
  <si>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</si>
  <si>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</si>
  <si>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</si>
  <si>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</si>
  <si>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</si>
  <si>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</si>
  <si>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</si>
  <si>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</si>
  <si>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</si>
  <si>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</si>
  <si>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</si>
  <si>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</si>
  <si>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</si>
  <si>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</si>
  <si>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</si>
  <si>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</si>
  <si>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</si>
  <si>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</si>
  <si>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</si>
  <si>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</si>
  <si>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</si>
  <si>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</si>
  <si>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</si>
  <si>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</si>
  <si>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</si>
  <si>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</si>
  <si>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</si>
  <si>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</si>
  <si>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</si>
  <si>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</si>
  <si>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V0344 Dra / GSC 3876-1271</t>
  </si>
  <si>
    <t>EW</t>
  </si>
  <si>
    <t>IBVS 6029</t>
  </si>
  <si>
    <t>I:</t>
  </si>
  <si>
    <t>IBVS 6070</t>
  </si>
  <si>
    <t>I</t>
  </si>
  <si>
    <t>IBVS 6149</t>
  </si>
  <si>
    <t>vis</t>
  </si>
  <si>
    <t>OEJV 0179</t>
  </si>
  <si>
    <t>Next ToM-P</t>
  </si>
  <si>
    <t>Next ToM-S</t>
  </si>
  <si>
    <t>13.70-14.20</t>
  </si>
  <si>
    <t xml:space="preserve">Mag 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</si>
</sst>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8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24" borderId="0" xfId="0" applyFont="1" applyFill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3" fillId="0" borderId="13" xfId="0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21" fillId="25" borderId="11" xfId="0" applyFont="1" applyFill="1" applyBorder="1" applyAlignment="1">
      <alignment horizontal="right" vertical="center"/>
    </xf>
    <xf numFmtId="0" fontId="21" fillId="25" borderId="12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V0344 Dra - O-C Diagr.</a:t>
            </a:r>
          </a:p>
        </c:rich>
      </c:tx>
      <c:layout>
        <c:manualLayout>
          <c:xMode val="edge"/>
          <c:yMode val="edge"/>
          <c:x val="0.379694019471488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F-46D1-B46E-5ED39B4DD4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1F-46D1-B46E-5ED39B4DD4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-0.18860000000131549</c:v>
                </c:pt>
                <c:pt idx="3">
                  <c:v>-0.21159999999508727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1F-46D1-B46E-5ED39B4DD4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-0.1897499999977299</c:v>
                </c:pt>
                <c:pt idx="4">
                  <c:v>-0.22660999999789055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1F-46D1-B46E-5ED39B4DD4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1F-46D1-B46E-5ED39B4DD4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1F-46D1-B46E-5ED39B4DD4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3.2000000000000002E-3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1F-46D1-B46E-5ED39B4DD4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-3.808665224393451E-2</c:v>
                </c:pt>
                <c:pt idx="1">
                  <c:v>-0.18879960338841084</c:v>
                </c:pt>
                <c:pt idx="2">
                  <c:v>-0.18933136083391153</c:v>
                </c:pt>
                <c:pt idx="3">
                  <c:v>-0.21221304485242498</c:v>
                </c:pt>
                <c:pt idx="4">
                  <c:v>-0.22621599091727582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1F-46D1-B46E-5ED39B4DD4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14029.5</c:v>
                </c:pt>
                <c:pt idx="2">
                  <c:v>14079</c:v>
                </c:pt>
                <c:pt idx="3">
                  <c:v>16209</c:v>
                </c:pt>
                <c:pt idx="4">
                  <c:v>17512.5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1F-46D1-B46E-5ED39B4DD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016144"/>
        <c:axId val="1"/>
      </c:scatterChart>
      <c:valAx>
        <c:axId val="76601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016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E1ABA1-E2E8-0F91-5291-EE624CBDC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ht="12.95" customHeight="1" x14ac:dyDescent="0.2">
      <c r="A2" t="s">
        <v>27</v>
      </c>
      <c r="B2" t="s">
        <v>43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4</v>
      </c>
      <c r="C4" s="26" t="s">
        <v>40</v>
      </c>
      <c r="D4" s="27" t="s">
        <v>40</v>
      </c>
    </row>
    <row r="5" spans="1:6" ht="12.95" customHeight="1" thickTop="1" x14ac:dyDescent="0.2">
      <c r="A5" s="9" t="s">
        <v>32</v>
      </c>
      <c r="B5" s="10"/>
      <c r="C5" s="11">
        <v>-9.5</v>
      </c>
      <c r="D5" s="10" t="s">
        <v>33</v>
      </c>
    </row>
    <row r="6" spans="1:6" ht="12.95" customHeight="1" x14ac:dyDescent="0.2">
      <c r="A6" s="5" t="s">
        <v>5</v>
      </c>
    </row>
    <row r="7" spans="1:6" ht="12.95" customHeight="1" x14ac:dyDescent="0.2">
      <c r="A7" t="s">
        <v>6</v>
      </c>
      <c r="C7" s="40">
        <v>51375.7</v>
      </c>
      <c r="D7" s="28" t="s">
        <v>41</v>
      </c>
    </row>
    <row r="8" spans="1:6" ht="12.95" customHeight="1" x14ac:dyDescent="0.2">
      <c r="A8" t="s">
        <v>7</v>
      </c>
      <c r="C8" s="40">
        <v>0.33289999999999997</v>
      </c>
      <c r="D8" s="28" t="s">
        <v>41</v>
      </c>
    </row>
    <row r="9" spans="1:6" ht="12.95" customHeight="1" x14ac:dyDescent="0.2">
      <c r="A9" s="23" t="s">
        <v>35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2.95" customHeight="1" thickBot="1" x14ac:dyDescent="0.25">
      <c r="A10" s="10"/>
      <c r="B10" s="10"/>
      <c r="C10" s="4" t="s">
        <v>23</v>
      </c>
      <c r="D10" s="4" t="s">
        <v>24</v>
      </c>
      <c r="E10" s="10"/>
    </row>
    <row r="11" spans="1:6" ht="12.95" customHeight="1" x14ac:dyDescent="0.2">
      <c r="A11" s="10" t="s">
        <v>19</v>
      </c>
      <c r="B11" s="10"/>
      <c r="C11" s="20">
        <f ca="1">INTERCEPT(INDIRECT($D$9):G992,INDIRECT($C$9):F992)</f>
        <v>-3.808665224393451E-2</v>
      </c>
      <c r="D11" s="3"/>
      <c r="E11" s="10"/>
    </row>
    <row r="12" spans="1:6" ht="12.95" customHeight="1" x14ac:dyDescent="0.2">
      <c r="A12" s="10" t="s">
        <v>20</v>
      </c>
      <c r="B12" s="10"/>
      <c r="C12" s="20">
        <f ca="1">SLOPE(INDIRECT($D$9):G992,INDIRECT($C$9):F992)</f>
        <v>-1.074257465657909E-5</v>
      </c>
      <c r="D12" s="3"/>
      <c r="E12" s="43" t="s">
        <v>54</v>
      </c>
      <c r="F12" s="44" t="s">
        <v>53</v>
      </c>
    </row>
    <row r="13" spans="1:6" ht="12.95" customHeight="1" x14ac:dyDescent="0.2">
      <c r="A13" s="10" t="s">
        <v>22</v>
      </c>
      <c r="B13" s="10"/>
      <c r="C13" s="3" t="s">
        <v>17</v>
      </c>
      <c r="E13" s="41" t="s">
        <v>37</v>
      </c>
      <c r="F13" s="45">
        <v>1</v>
      </c>
    </row>
    <row r="14" spans="1:6" ht="12.95" customHeight="1" x14ac:dyDescent="0.2">
      <c r="A14" s="10"/>
      <c r="B14" s="10"/>
      <c r="C14" s="10"/>
      <c r="E14" s="41" t="s">
        <v>34</v>
      </c>
      <c r="F14" s="46">
        <f ca="1">NOW()+15018.5+$C$5/24</f>
        <v>60532.816326851847</v>
      </c>
    </row>
    <row r="15" spans="1:6" ht="12.95" customHeight="1" x14ac:dyDescent="0.2">
      <c r="A15" s="12" t="s">
        <v>21</v>
      </c>
      <c r="B15" s="10"/>
      <c r="C15" s="13">
        <f ca="1">(C7+C11)+(C8+C12)*INT(MAX(F21:F3533))</f>
        <v>57205.218589380362</v>
      </c>
      <c r="E15" s="41" t="s">
        <v>38</v>
      </c>
      <c r="F15" s="46">
        <f ca="1">ROUND(2*($F$14-$C$7)/$C$8,0)/2+$F$13</f>
        <v>27508</v>
      </c>
    </row>
    <row r="16" spans="1:6" ht="12.95" customHeight="1" x14ac:dyDescent="0.2">
      <c r="A16" s="15" t="s">
        <v>8</v>
      </c>
      <c r="B16" s="10"/>
      <c r="C16" s="16">
        <f ca="1">+C8+C12</f>
        <v>0.33288925742534342</v>
      </c>
      <c r="E16" s="41" t="s">
        <v>39</v>
      </c>
      <c r="F16" s="46">
        <f ca="1">ROUND(2*($F$14-$C$15)/$C$16,0)/2+$F$13</f>
        <v>9997</v>
      </c>
    </row>
    <row r="17" spans="1:21" ht="12.95" customHeight="1" thickBot="1" x14ac:dyDescent="0.25">
      <c r="A17" s="14" t="s">
        <v>31</v>
      </c>
      <c r="B17" s="10"/>
      <c r="C17" s="10">
        <f>COUNT(C21:C2191)</f>
        <v>5</v>
      </c>
      <c r="E17" s="41" t="s">
        <v>51</v>
      </c>
      <c r="F17" s="47">
        <f ca="1">+$C$15+$C$16*$F$16-15018.5-$C$5/24</f>
        <v>45515.008329194854</v>
      </c>
    </row>
    <row r="18" spans="1:21" ht="12.95" customHeight="1" thickTop="1" thickBot="1" x14ac:dyDescent="0.25">
      <c r="A18" s="15" t="s">
        <v>9</v>
      </c>
      <c r="B18" s="10"/>
      <c r="C18" s="18">
        <f ca="1">+C15</f>
        <v>57205.218589380362</v>
      </c>
      <c r="D18" s="19">
        <f ca="1">+C16</f>
        <v>0.33288925742534342</v>
      </c>
      <c r="E18" s="42" t="s">
        <v>52</v>
      </c>
      <c r="F18" s="48">
        <f ca="1">+($C$15+$C$16*$F$16)-($C$16/2)-15018.5-$C$5/24</f>
        <v>45514.841884566144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5" t="s">
        <v>36</v>
      </c>
    </row>
    <row r="21" spans="1:21" ht="12.95" customHeight="1" x14ac:dyDescent="0.2">
      <c r="A21" t="s">
        <v>41</v>
      </c>
      <c r="C21" s="8">
        <f>C7</f>
        <v>51375.7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-3.808665224393451E-2</v>
      </c>
      <c r="Q21" s="2">
        <f>+C21-15018.5</f>
        <v>36357.199999999997</v>
      </c>
    </row>
    <row r="22" spans="1:21" ht="12.95" customHeight="1" x14ac:dyDescent="0.2">
      <c r="A22" s="29" t="s">
        <v>44</v>
      </c>
      <c r="B22" s="30" t="s">
        <v>45</v>
      </c>
      <c r="C22" s="29">
        <v>56045.930800000002</v>
      </c>
      <c r="D22" s="29">
        <v>1.5E-3</v>
      </c>
      <c r="E22">
        <f>+(C22-C$7)/C$8</f>
        <v>14028.93000901173</v>
      </c>
      <c r="F22" s="31">
        <f>ROUND(2*E22,0)/2+0.5</f>
        <v>14029.5</v>
      </c>
      <c r="G22">
        <f>+C22-(C$7+F22*C$8)</f>
        <v>-0.1897499999977299</v>
      </c>
      <c r="K22">
        <f>+G22</f>
        <v>-0.1897499999977299</v>
      </c>
      <c r="O22">
        <f ca="1">+C$11+C$12*$F22</f>
        <v>-0.18879960338841084</v>
      </c>
      <c r="Q22" s="2">
        <f>+C22-15018.5</f>
        <v>41027.430800000002</v>
      </c>
    </row>
    <row r="23" spans="1:21" ht="12.95" customHeight="1" x14ac:dyDescent="0.2">
      <c r="A23" s="32" t="s">
        <v>46</v>
      </c>
      <c r="B23" s="33" t="s">
        <v>47</v>
      </c>
      <c r="C23" s="34">
        <v>56062.410499999998</v>
      </c>
      <c r="D23" s="34">
        <v>1.9E-3</v>
      </c>
      <c r="E23">
        <f>+(C23-C$7)/C$8</f>
        <v>14078.433463502557</v>
      </c>
      <c r="F23" s="31">
        <f>ROUND(2*E23,0)/2+0.5</f>
        <v>14079</v>
      </c>
      <c r="G23">
        <f>+C23-(C$7+F23*C$8)</f>
        <v>-0.18860000000131549</v>
      </c>
      <c r="J23">
        <f>+G23</f>
        <v>-0.18860000000131549</v>
      </c>
      <c r="O23">
        <f ca="1">+C$11+C$12*$F23</f>
        <v>-0.18933136083391153</v>
      </c>
      <c r="Q23" s="2">
        <f>+C23-15018.5</f>
        <v>41043.910499999998</v>
      </c>
    </row>
    <row r="24" spans="1:21" ht="12.95" customHeight="1" x14ac:dyDescent="0.2">
      <c r="A24" s="35" t="s">
        <v>48</v>
      </c>
      <c r="B24" s="36" t="s">
        <v>47</v>
      </c>
      <c r="C24" s="35">
        <v>56771.464500000002</v>
      </c>
      <c r="D24" s="35">
        <v>3.2000000000000002E-3</v>
      </c>
      <c r="E24">
        <f>+(C24-C$7)/C$8</f>
        <v>16208.364373685807</v>
      </c>
      <c r="F24" s="31">
        <f>ROUND(2*E24,0)/2+0.5</f>
        <v>16209</v>
      </c>
      <c r="G24">
        <f>+C24-(C$7+F24*C$8)</f>
        <v>-0.21159999999508727</v>
      </c>
      <c r="J24">
        <f>+G24</f>
        <v>-0.21159999999508727</v>
      </c>
      <c r="O24">
        <f ca="1">+C$11+C$12*$F24</f>
        <v>-0.21221304485242498</v>
      </c>
      <c r="Q24" s="2">
        <f>+C24-15018.5</f>
        <v>41752.964500000002</v>
      </c>
    </row>
    <row r="25" spans="1:21" ht="12.95" customHeight="1" x14ac:dyDescent="0.2">
      <c r="A25" s="37" t="s">
        <v>50</v>
      </c>
      <c r="B25" s="38" t="s">
        <v>1</v>
      </c>
      <c r="C25" s="39">
        <v>57205.384639999997</v>
      </c>
      <c r="D25" s="39">
        <v>4.0000000000000002E-4</v>
      </c>
      <c r="E25">
        <f>+(C25-C$7)/C$8</f>
        <v>17511.819285070593</v>
      </c>
      <c r="F25" s="31">
        <f>ROUND(2*E25,0)/2+0.5</f>
        <v>17512.5</v>
      </c>
      <c r="G25">
        <f>+C25-(C$7+F25*C$8)</f>
        <v>-0.22660999999789055</v>
      </c>
      <c r="K25">
        <f>+G25</f>
        <v>-0.22660999999789055</v>
      </c>
      <c r="O25">
        <f ca="1">+C$11+C$12*$F25</f>
        <v>-0.22621599091727582</v>
      </c>
      <c r="Q25" s="2">
        <f>+C25-15018.5</f>
        <v>42186.884639999997</v>
      </c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59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2024-08-10T07:35:30Z</dcterms:modified>
</cp:coreProperties>
</file>