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5DA7960-E3EF-496A-83C8-55CFDB39E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 s="1"/>
  <c r="K22" i="1" s="1"/>
  <c r="E23" i="1"/>
  <c r="F23" i="1"/>
  <c r="Q22" i="1"/>
  <c r="Q23" i="1"/>
  <c r="D9" i="1"/>
  <c r="E21" i="1"/>
  <c r="F21" i="1" s="1"/>
  <c r="G21" i="1" s="1"/>
  <c r="I21" i="1" s="1"/>
  <c r="E9" i="1"/>
  <c r="C17" i="1"/>
  <c r="Q21" i="1"/>
  <c r="G23" i="1"/>
  <c r="K23" i="1" s="1"/>
  <c r="C12" i="1"/>
  <c r="C11" i="1"/>
  <c r="F15" i="1" l="1"/>
  <c r="C16" i="1"/>
  <c r="D18" i="1" s="1"/>
  <c r="O21" i="1"/>
  <c r="O22" i="1"/>
  <c r="C15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<sst xmlns="http://schemas.openxmlformats.org/spreadsheetml/2006/main" count="62" uniqueCount="55">
  <si>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</si>
  <si>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</si>
  <si>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</si>
  <si>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</si>
  <si>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</si>
  <si>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</si>
  <si>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</si>
  <si>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</si>
  <si>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</si>
  <si>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</si>
  <si>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</si>
  <si>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</si>
  <si>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</si>
  <si>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</si>
  <si>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</si>
  <si>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</si>
  <si>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</si>
  <si>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</si>
  <si>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</si>
  <si>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</si>
  <si>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</si>
  <si>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</si>
  <si>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</si>
  <si>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</si>
  <si>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</si>
  <si>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</si>
  <si>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</si>
  <si>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</si>
  <si>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</si>
  <si>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</si>
  <si>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</si>
  <si>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</si>
  <si>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</si>
  <si>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</si>
  <si>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</si>
  <si>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</si>
  <si>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</si>
  <si>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</si>
  <si>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</si>
  <si>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</si>
  <si>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</si>
  <si>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V0435 Dra</t>
  </si>
  <si>
    <t>2013a</t>
  </si>
  <si>
    <t xml:space="preserve"> V0435 Dra </t>
  </si>
  <si>
    <t>EW</t>
  </si>
  <si>
    <t>pr_0</t>
  </si>
  <si>
    <t>~</t>
  </si>
  <si>
    <t>as of 2017-11-29</t>
  </si>
  <si>
    <t>GCVS</t>
  </si>
  <si>
    <t>OEJV 0179</t>
  </si>
  <si>
    <t>Next ToM-P</t>
  </si>
  <si>
    <t>Next ToM-S</t>
  </si>
  <si>
    <t>V0435 Dra / GSC n04446-00787</t>
  </si>
  <si>
    <t>12.32-12.64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</si>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</sst>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5" fillId="2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0" fillId="0" borderId="0" xfId="0" applyFont="1" applyAlignment="1"/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16" fillId="26" borderId="11" xfId="0" applyFont="1" applyFill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4" fillId="0" borderId="14" xfId="0" applyNumberFormat="1" applyFont="1" applyBorder="1" applyAlignment="1">
      <alignment horizontal="right" vertical="center"/>
    </xf>
    <xf numFmtId="22" fontId="34" fillId="0" borderId="15" xfId="0" applyNumberFormat="1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V0435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6-479F-A4D8-D5C02BC663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C6-479F-A4D8-D5C02BC663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C6-479F-A4D8-D5C02BC663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8.1064999998488929E-2</c:v>
                </c:pt>
                <c:pt idx="2">
                  <c:v>8.0334999998740386E-2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C6-479F-A4D8-D5C02BC663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C6-479F-A4D8-D5C02BC663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C6-479F-A4D8-D5C02BC663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C6-479F-A4D8-D5C02BC663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2.295353493671215E-6</c:v>
                </c:pt>
                <c:pt idx="1">
                  <c:v>8.0526500504902371E-2</c:v>
                </c:pt>
                <c:pt idx="2">
                  <c:v>8.0871204138833308E-2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C6-479F-A4D8-D5C02BC663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11213</c:v>
                </c:pt>
                <c:pt idx="2">
                  <c:v>11261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C6-479F-A4D8-D5C02BC6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60744"/>
        <c:axId val="1"/>
      </c:scatterChart>
      <c:valAx>
        <c:axId val="79346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60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0EC52F-BEC4-2D58-1458-0ACD814C3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1" sqref="G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52</v>
      </c>
      <c r="F1" s="31" t="s">
        <v>41</v>
      </c>
      <c r="G1" s="30" t="s">
        <v>42</v>
      </c>
      <c r="H1" s="32"/>
      <c r="I1" s="33" t="s">
        <v>14</v>
      </c>
      <c r="J1" s="34" t="s">
        <v>43</v>
      </c>
      <c r="K1" s="35">
        <v>20.044699999999999</v>
      </c>
      <c r="L1" s="36">
        <v>68.295740000000009</v>
      </c>
      <c r="M1" s="37">
        <v>51359.896000000001</v>
      </c>
      <c r="N1" s="37">
        <v>0.52220500000000003</v>
      </c>
      <c r="O1" s="38" t="s">
        <v>44</v>
      </c>
      <c r="P1" s="36">
        <v>12.32</v>
      </c>
      <c r="Q1" s="36">
        <v>12.64</v>
      </c>
      <c r="R1" s="39" t="s">
        <v>45</v>
      </c>
      <c r="S1" s="40" t="s">
        <v>46</v>
      </c>
    </row>
    <row r="2" spans="1:19" ht="12.95" customHeight="1" x14ac:dyDescent="0.2">
      <c r="A2" t="s">
        <v>24</v>
      </c>
      <c r="B2" t="s">
        <v>44</v>
      </c>
      <c r="C2" s="29"/>
      <c r="D2" s="3"/>
    </row>
    <row r="3" spans="1:19" ht="12.95" customHeight="1" thickBot="1" x14ac:dyDescent="0.25">
      <c r="C3" s="41" t="s">
        <v>47</v>
      </c>
    </row>
    <row r="4" spans="1:19" ht="12.95" customHeight="1" thickTop="1" thickBot="1" x14ac:dyDescent="0.25">
      <c r="A4" s="5" t="s">
        <v>1</v>
      </c>
      <c r="C4" s="26">
        <v>51359.896000000001</v>
      </c>
      <c r="D4" s="27">
        <v>0.52220500000000003</v>
      </c>
    </row>
    <row r="5" spans="1:19" ht="12.95" customHeight="1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ht="12.95" customHeight="1" x14ac:dyDescent="0.2">
      <c r="A6" s="5" t="s">
        <v>2</v>
      </c>
    </row>
    <row r="7" spans="1:19" ht="12.95" customHeight="1" x14ac:dyDescent="0.2">
      <c r="A7" t="s">
        <v>3</v>
      </c>
      <c r="C7" s="45">
        <v>51359.896000000001</v>
      </c>
      <c r="D7" s="28" t="s">
        <v>48</v>
      </c>
    </row>
    <row r="8" spans="1:19" ht="12.95" customHeight="1" x14ac:dyDescent="0.2">
      <c r="A8" t="s">
        <v>4</v>
      </c>
      <c r="C8" s="45">
        <v>0.52220500000000003</v>
      </c>
      <c r="D8" s="28" t="s">
        <v>48</v>
      </c>
    </row>
    <row r="9" spans="1:19" ht="12.95" customHeight="1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19" ht="12.95" customHeight="1" x14ac:dyDescent="0.2">
      <c r="A11" s="10" t="s">
        <v>16</v>
      </c>
      <c r="B11" s="10"/>
      <c r="C11" s="20">
        <f ca="1">INTERCEPT(INDIRECT($E$9):G992,INDIRECT($D$9):F992)</f>
        <v>2.295353493671215E-6</v>
      </c>
      <c r="D11" s="3"/>
      <c r="E11" s="10"/>
    </row>
    <row r="12" spans="1:19" ht="12.95" customHeight="1" x14ac:dyDescent="0.2">
      <c r="A12" s="10" t="s">
        <v>17</v>
      </c>
      <c r="B12" s="10"/>
      <c r="C12" s="20">
        <f ca="1">SLOPE(INDIRECT($E$9):G992,INDIRECT($D$9):F992)</f>
        <v>7.1813257068945592E-6</v>
      </c>
      <c r="D12" s="3"/>
      <c r="E12" s="48" t="s">
        <v>54</v>
      </c>
      <c r="F12" s="53" t="s">
        <v>53</v>
      </c>
    </row>
    <row r="13" spans="1:19" ht="12.95" customHeight="1" x14ac:dyDescent="0.2">
      <c r="A13" s="10" t="s">
        <v>19</v>
      </c>
      <c r="B13" s="10"/>
      <c r="C13" s="3" t="s">
        <v>14</v>
      </c>
      <c r="E13" s="46" t="s">
        <v>33</v>
      </c>
      <c r="F13" s="52">
        <v>1</v>
      </c>
    </row>
    <row r="14" spans="1:19" ht="12.95" customHeight="1" x14ac:dyDescent="0.2">
      <c r="A14" s="10"/>
      <c r="B14" s="10"/>
      <c r="C14" s="10"/>
      <c r="E14" s="46" t="s">
        <v>31</v>
      </c>
      <c r="F14" s="49">
        <f ca="1">NOW()+15018.5+$C$5/24</f>
        <v>60536.718259374997</v>
      </c>
    </row>
    <row r="15" spans="1:19" ht="12.95" customHeight="1" x14ac:dyDescent="0.2">
      <c r="A15" s="12" t="s">
        <v>18</v>
      </c>
      <c r="B15" s="10"/>
      <c r="C15" s="13">
        <f ca="1">(C7+C11)+(C8+C12)*INT(MAX(F21:F3533))</f>
        <v>57240.52737620414</v>
      </c>
      <c r="E15" s="46" t="s">
        <v>34</v>
      </c>
      <c r="F15" s="49">
        <f ca="1">ROUND(2*($F$14-$C$7)/$C$8,0)/2+$F$13</f>
        <v>17574</v>
      </c>
    </row>
    <row r="16" spans="1:19" ht="12.95" customHeight="1" x14ac:dyDescent="0.2">
      <c r="A16" s="15" t="s">
        <v>5</v>
      </c>
      <c r="B16" s="10"/>
      <c r="C16" s="16">
        <f ca="1">+C8+C12</f>
        <v>0.5222121813257069</v>
      </c>
      <c r="E16" s="46" t="s">
        <v>35</v>
      </c>
      <c r="F16" s="49">
        <f ca="1">ROUND(2*($F$14-$C$15)/$C$16,0)/2+$F$13</f>
        <v>6313</v>
      </c>
    </row>
    <row r="17" spans="1:21" ht="12.95" customHeight="1" thickBot="1" x14ac:dyDescent="0.25">
      <c r="A17" s="14" t="s">
        <v>28</v>
      </c>
      <c r="B17" s="10"/>
      <c r="C17" s="10">
        <f>COUNT(C21:C2191)</f>
        <v>3</v>
      </c>
      <c r="E17" s="46" t="s">
        <v>50</v>
      </c>
      <c r="F17" s="50">
        <f ca="1">+$C$15+$C$16*$F$16-15018.5-$C$5/24</f>
        <v>45519.148710246664</v>
      </c>
    </row>
    <row r="18" spans="1:21" ht="12.95" customHeight="1" thickTop="1" thickBot="1" x14ac:dyDescent="0.25">
      <c r="A18" s="15" t="s">
        <v>6</v>
      </c>
      <c r="B18" s="10"/>
      <c r="C18" s="18">
        <f ca="1">+C15</f>
        <v>57240.52737620414</v>
      </c>
      <c r="D18" s="19">
        <f ca="1">+C16</f>
        <v>0.5222121813257069</v>
      </c>
      <c r="E18" s="47" t="s">
        <v>51</v>
      </c>
      <c r="F18" s="51">
        <f ca="1">+($C$15+$C$16*$F$16)-($C$16/2)-15018.5-$C$5/24</f>
        <v>45518.887604156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5" t="s">
        <v>40</v>
      </c>
    </row>
    <row r="21" spans="1:21" ht="12.95" customHeight="1" x14ac:dyDescent="0.2">
      <c r="A21" t="s">
        <v>48</v>
      </c>
      <c r="C21" s="8">
        <v>51359.896000000001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2.295353493671215E-6</v>
      </c>
      <c r="Q21" s="2">
        <f>+C21-15018.5</f>
        <v>36341.396000000001</v>
      </c>
    </row>
    <row r="22" spans="1:21" ht="12.95" customHeight="1" x14ac:dyDescent="0.2">
      <c r="A22" s="42" t="s">
        <v>49</v>
      </c>
      <c r="B22" s="43" t="s">
        <v>0</v>
      </c>
      <c r="C22" s="44">
        <v>57215.461730000003</v>
      </c>
      <c r="D22" s="44">
        <v>4.0000000000000002E-4</v>
      </c>
      <c r="E22">
        <f>+(C22-C$7)/C$8</f>
        <v>11213.155235970551</v>
      </c>
      <c r="F22">
        <f>ROUND(2*E22,0)/2</f>
        <v>11213</v>
      </c>
      <c r="G22">
        <f>+C22-(C$7+F22*C$8)</f>
        <v>8.1064999998488929E-2</v>
      </c>
      <c r="K22">
        <f>+G22</f>
        <v>8.1064999998488929E-2</v>
      </c>
      <c r="O22">
        <f ca="1">+C$11+C$12*$F22</f>
        <v>8.0526500504902371E-2</v>
      </c>
      <c r="Q22" s="2">
        <f>+C22-15018.5</f>
        <v>42196.961730000003</v>
      </c>
    </row>
    <row r="23" spans="1:21" ht="12.95" customHeight="1" x14ac:dyDescent="0.2">
      <c r="A23" s="42" t="s">
        <v>49</v>
      </c>
      <c r="B23" s="43" t="s">
        <v>0</v>
      </c>
      <c r="C23" s="44">
        <v>57240.526839999999</v>
      </c>
      <c r="D23" s="44">
        <v>2.9999999999999997E-4</v>
      </c>
      <c r="E23">
        <f>+(C23-C$7)/C$8</f>
        <v>11261.153838052101</v>
      </c>
      <c r="F23">
        <f>ROUND(2*E23,0)/2</f>
        <v>11261</v>
      </c>
      <c r="G23">
        <f>+C23-(C$7+F23*C$8)</f>
        <v>8.0334999998740386E-2</v>
      </c>
      <c r="K23">
        <f>+G23</f>
        <v>8.0334999998740386E-2</v>
      </c>
      <c r="O23">
        <f ca="1">+C$11+C$12*$F23</f>
        <v>8.0871204138833308E-2</v>
      </c>
      <c r="Q23" s="2">
        <f>+C23-15018.5</f>
        <v>42222.026839999999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54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2024-08-14T05:14:17Z</dcterms:modified>
</cp:coreProperties>
</file>