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9BBFAF1-DFAC-42C8-86C5-0329501D33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4" i="1"/>
  <c r="F24" i="1"/>
  <c r="G24" i="1"/>
  <c r="K24" i="1"/>
  <c r="Q24" i="1"/>
  <c r="Q25" i="1"/>
  <c r="D9" i="1"/>
  <c r="C9" i="1"/>
  <c r="Q22" i="1"/>
  <c r="Q23" i="1"/>
  <c r="C8" i="1"/>
  <c r="D8" i="1"/>
  <c r="C17" i="1"/>
  <c r="Q21" i="1"/>
  <c r="E23" i="1"/>
  <c r="F23" i="1"/>
  <c r="G23" i="1"/>
  <c r="K23" i="1"/>
  <c r="E22" i="1"/>
  <c r="F22" i="1"/>
  <c r="G22" i="1"/>
  <c r="E25" i="1"/>
  <c r="F25" i="1"/>
  <c r="G25" i="1"/>
  <c r="K25" i="1"/>
  <c r="E21" i="1"/>
  <c r="F21" i="1"/>
  <c r="G21" i="1"/>
  <c r="I21" i="1"/>
  <c r="K22" i="1"/>
  <c r="C11" i="1"/>
  <c r="C12" i="1"/>
  <c r="O25" i="1" l="1"/>
  <c r="O22" i="1"/>
  <c r="O23" i="1"/>
  <c r="O24" i="1"/>
  <c r="O21" i="1"/>
  <c r="C15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<sst xmlns="http://schemas.openxmlformats.org/spreadsheetml/2006/main" count="63" uniqueCount="56">
  <si>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</si>
  <si>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</si>
  <si>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</si>
  <si>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</si>
  <si>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</si>
  <si>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</si>
  <si>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</si>
  <si>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</si>
  <si>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</si>
  <si>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</si>
  <si>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</si>
  <si>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</si>
  <si>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</si>
  <si>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</si>
  <si>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</si>
  <si>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</si>
  <si>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</si>
  <si>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</si>
  <si>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</si>
  <si>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</si>
  <si>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</si>
  <si>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</si>
  <si>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</si>
  <si>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</si>
  <si>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</si>
  <si>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</si>
  <si>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</si>
  <si>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</si>
  <si>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</si>
  <si>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</si>
  <si>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</si>
  <si>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</si>
  <si>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</si>
  <si>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</si>
  <si>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</si>
  <si>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</si>
  <si>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</si>
  <si>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</si>
  <si>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</si>
  <si>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</si>
  <si>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V0436 Dra  </t>
  </si>
  <si>
    <t>2017K</t>
  </si>
  <si>
    <t>G4450-0232</t>
  </si>
  <si>
    <t xml:space="preserve">EW        </t>
  </si>
  <si>
    <t>pr_6</t>
  </si>
  <si>
    <t>V0436 Dra   / GSC 4450-0232</t>
  </si>
  <si>
    <t>GCVS</t>
  </si>
  <si>
    <t>IBVS 6196</t>
  </si>
  <si>
    <t>I</t>
  </si>
  <si>
    <t>OEJV 0179</t>
  </si>
  <si>
    <t>OEJV 0211</t>
  </si>
  <si>
    <t>II</t>
  </si>
  <si>
    <t>Next ToM-P</t>
  </si>
  <si>
    <t>Next ToM-S</t>
  </si>
  <si>
    <t>14.15-14.80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</si>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</sst>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3" fillId="0" borderId="14" xfId="0" applyFont="1" applyBorder="1" applyAlignment="1">
      <alignment horizontal="right" vertical="center"/>
    </xf>
    <xf numFmtId="0" fontId="33" fillId="0" borderId="17" xfId="0" applyFont="1" applyBorder="1" applyAlignment="1">
      <alignment horizontal="right" vertical="center"/>
    </xf>
    <xf numFmtId="0" fontId="6" fillId="26" borderId="12" xfId="0" applyFont="1" applyFill="1" applyBorder="1" applyAlignment="1">
      <alignment horizontal="right" vertical="center"/>
    </xf>
    <xf numFmtId="0" fontId="6" fillId="26" borderId="13" xfId="0" applyFont="1" applyFill="1" applyBorder="1" applyAlignment="1">
      <alignment horizontal="center" vertical="center"/>
    </xf>
    <xf numFmtId="0" fontId="34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6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V0436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13636</c:v>
                </c:pt>
                <c:pt idx="2">
                  <c:v>13429.5</c:v>
                </c:pt>
                <c:pt idx="3">
                  <c:v>15170</c:v>
                </c:pt>
                <c:pt idx="4">
                  <c:v>15370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F8-440F-83EA-D4FC4BC4D0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13636</c:v>
                </c:pt>
                <c:pt idx="2">
                  <c:v>13429.5</c:v>
                </c:pt>
                <c:pt idx="3">
                  <c:v>15170</c:v>
                </c:pt>
                <c:pt idx="4">
                  <c:v>15370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8-440F-83EA-D4FC4BC4D0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13636</c:v>
                </c:pt>
                <c:pt idx="2">
                  <c:v>13429.5</c:v>
                </c:pt>
                <c:pt idx="3">
                  <c:v>15170</c:v>
                </c:pt>
                <c:pt idx="4">
                  <c:v>15370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F8-440F-83EA-D4FC4BC4D0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13636</c:v>
                </c:pt>
                <c:pt idx="2">
                  <c:v>13429.5</c:v>
                </c:pt>
                <c:pt idx="3">
                  <c:v>15170</c:v>
                </c:pt>
                <c:pt idx="4">
                  <c:v>15370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3.6000000036437996E-3</c:v>
                </c:pt>
                <c:pt idx="2">
                  <c:v>-6.0894999995070975E-2</c:v>
                </c:pt>
                <c:pt idx="3">
                  <c:v>-2.6060000091092661E-2</c:v>
                </c:pt>
                <c:pt idx="4">
                  <c:v>-3.0189999975846149E-2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F8-440F-83EA-D4FC4BC4D0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13636</c:v>
                </c:pt>
                <c:pt idx="2">
                  <c:v>13429.5</c:v>
                </c:pt>
                <c:pt idx="3">
                  <c:v>15170</c:v>
                </c:pt>
                <c:pt idx="4">
                  <c:v>15370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F8-440F-83EA-D4FC4BC4D0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13636</c:v>
                </c:pt>
                <c:pt idx="2">
                  <c:v>13429.5</c:v>
                </c:pt>
                <c:pt idx="3">
                  <c:v>15170</c:v>
                </c:pt>
                <c:pt idx="4">
                  <c:v>15370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F8-440F-83EA-D4FC4BC4D0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13636</c:v>
                </c:pt>
                <c:pt idx="2">
                  <c:v>13429.5</c:v>
                </c:pt>
                <c:pt idx="3">
                  <c:v>15170</c:v>
                </c:pt>
                <c:pt idx="4">
                  <c:v>15370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F8-440F-83EA-D4FC4BC4D0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13636</c:v>
                </c:pt>
                <c:pt idx="2">
                  <c:v>13429.5</c:v>
                </c:pt>
                <c:pt idx="3">
                  <c:v>15170</c:v>
                </c:pt>
                <c:pt idx="4">
                  <c:v>15370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-6.2061566068728771E-2</c:v>
                </c:pt>
                <c:pt idx="1">
                  <c:v>-3.0175957249139261E-2</c:v>
                </c:pt>
                <c:pt idx="2">
                  <c:v>-3.0658824528491363E-2</c:v>
                </c:pt>
                <c:pt idx="3">
                  <c:v>-2.6588943173952238E-2</c:v>
                </c:pt>
                <c:pt idx="4">
                  <c:v>-2.612127510678313E-2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F8-440F-83EA-D4FC4BC4D03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13636</c:v>
                </c:pt>
                <c:pt idx="2">
                  <c:v>13429.5</c:v>
                </c:pt>
                <c:pt idx="3">
                  <c:v>15170</c:v>
                </c:pt>
                <c:pt idx="4">
                  <c:v>15370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F8-440F-83EA-D4FC4BC4D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132192"/>
        <c:axId val="1"/>
      </c:scatterChart>
      <c:valAx>
        <c:axId val="505132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132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457200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0E2F464-9A3C-840A-172D-9F051BD5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34" t="s">
        <v>40</v>
      </c>
      <c r="G1" s="29" t="s">
        <v>41</v>
      </c>
      <c r="H1" s="35"/>
      <c r="I1" s="36" t="s">
        <v>42</v>
      </c>
      <c r="J1" s="37" t="s">
        <v>40</v>
      </c>
      <c r="K1" s="38">
        <v>20.052900000000001</v>
      </c>
      <c r="L1" s="31">
        <v>71.102130000000002</v>
      </c>
      <c r="M1" s="32">
        <v>51376.133999999998</v>
      </c>
      <c r="N1" s="32">
        <v>0.43020999999999998</v>
      </c>
      <c r="O1" s="30" t="s">
        <v>43</v>
      </c>
      <c r="P1" s="31">
        <v>14.15</v>
      </c>
      <c r="Q1" s="31">
        <v>14.8</v>
      </c>
      <c r="R1" s="39" t="s">
        <v>44</v>
      </c>
      <c r="S1" s="30"/>
    </row>
    <row r="2" spans="1:19" ht="12.95" customHeight="1" x14ac:dyDescent="0.2">
      <c r="A2" t="s">
        <v>23</v>
      </c>
      <c r="B2" t="s">
        <v>43</v>
      </c>
      <c r="C2" s="28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5">
        <v>51376.133999999998</v>
      </c>
      <c r="D4" s="26">
        <v>0.43020999999999998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9">
        <v>51376.133999999998</v>
      </c>
      <c r="D7" s="27" t="s">
        <v>46</v>
      </c>
    </row>
    <row r="8" spans="1:19" ht="12.95" customHeight="1" x14ac:dyDescent="0.2">
      <c r="A8" t="s">
        <v>3</v>
      </c>
      <c r="C8" s="49">
        <f>N1</f>
        <v>0.43020999999999998</v>
      </c>
      <c r="D8" s="27" t="str">
        <f>D7</f>
        <v>GCVS</v>
      </c>
    </row>
    <row r="9" spans="1:19" ht="12.95" customHeight="1" x14ac:dyDescent="0.2">
      <c r="A9" s="23" t="s">
        <v>31</v>
      </c>
      <c r="B9" s="33">
        <v>22</v>
      </c>
      <c r="C9" s="21" t="str">
        <f>"F"&amp;B9</f>
        <v>F22</v>
      </c>
      <c r="D9" s="22" t="str">
        <f>"G"&amp;B9</f>
        <v>G22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0">
        <f ca="1">INTERCEPT(INDIRECT($D$9):G992,INDIRECT($C$9):F992)</f>
        <v>-6.2061566068728771E-2</v>
      </c>
      <c r="D11" s="3"/>
      <c r="E11" s="10"/>
    </row>
    <row r="12" spans="1:19" ht="12.95" customHeight="1" x14ac:dyDescent="0.2">
      <c r="A12" s="10" t="s">
        <v>16</v>
      </c>
      <c r="B12" s="10"/>
      <c r="C12" s="20">
        <f ca="1">SLOPE(INDIRECT($D$9):G992,INDIRECT($C$9):F992)</f>
        <v>2.3383403358455197E-6</v>
      </c>
      <c r="D12" s="3"/>
      <c r="E12" s="52" t="s">
        <v>55</v>
      </c>
      <c r="F12" s="53" t="s">
        <v>54</v>
      </c>
    </row>
    <row r="13" spans="1:19" ht="12.95" customHeight="1" x14ac:dyDescent="0.2">
      <c r="A13" s="10" t="s">
        <v>18</v>
      </c>
      <c r="B13" s="10"/>
      <c r="C13" s="3" t="s">
        <v>13</v>
      </c>
      <c r="E13" s="50" t="s">
        <v>33</v>
      </c>
      <c r="F13" s="54">
        <v>1</v>
      </c>
    </row>
    <row r="14" spans="1:19" ht="12.95" customHeight="1" x14ac:dyDescent="0.2">
      <c r="A14" s="10"/>
      <c r="B14" s="10"/>
      <c r="C14" s="10"/>
      <c r="E14" s="50" t="s">
        <v>30</v>
      </c>
      <c r="F14" s="55">
        <f ca="1">NOW()+15018.5+$C$5/24</f>
        <v>60536.720007175922</v>
      </c>
    </row>
    <row r="15" spans="1:19" ht="12.95" customHeight="1" x14ac:dyDescent="0.2">
      <c r="A15" s="12" t="s">
        <v>17</v>
      </c>
      <c r="B15" s="10"/>
      <c r="C15" s="13">
        <f ca="1">(C7+C11)+(C8+C12)*INT(MAX(F21:F3533))</f>
        <v>57988.435578724893</v>
      </c>
      <c r="E15" s="50" t="s">
        <v>34</v>
      </c>
      <c r="F15" s="55">
        <f ca="1">ROUND(2*($F$14-$C$7)/$C$8,0)/2+$F$13</f>
        <v>21294.5</v>
      </c>
    </row>
    <row r="16" spans="1:19" ht="12.95" customHeight="1" x14ac:dyDescent="0.2">
      <c r="A16" s="15" t="s">
        <v>4</v>
      </c>
      <c r="B16" s="10"/>
      <c r="C16" s="16">
        <f ca="1">+C8+C12</f>
        <v>0.43021233834033584</v>
      </c>
      <c r="E16" s="50" t="s">
        <v>35</v>
      </c>
      <c r="F16" s="55">
        <f ca="1">ROUND(2*($F$14-$C$15)/$C$16,0)/2+$F$13</f>
        <v>5924.5</v>
      </c>
    </row>
    <row r="17" spans="1:21" ht="12.95" customHeight="1" thickBot="1" x14ac:dyDescent="0.25">
      <c r="A17" s="14" t="s">
        <v>27</v>
      </c>
      <c r="B17" s="10"/>
      <c r="C17" s="10">
        <f>COUNT(C21:C2191)</f>
        <v>5</v>
      </c>
      <c r="E17" s="50" t="s">
        <v>52</v>
      </c>
      <c r="F17" s="56">
        <f ca="1">+$C$15+$C$16*$F$16-15018.5-$C$5/24</f>
        <v>45519.124410555545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57988.435578724893</v>
      </c>
      <c r="D18" s="19">
        <f ca="1">+C16</f>
        <v>0.43021233834033584</v>
      </c>
      <c r="E18" s="51" t="s">
        <v>53</v>
      </c>
      <c r="F18" s="57">
        <f ca="1">+($C$15+$C$16*$F$16)-($C$16/2)-15018.5-$C$5/24</f>
        <v>45518.909304386376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46</v>
      </c>
      <c r="C21" s="8">
        <v>51376.133999999998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-6.2061566068728771E-2</v>
      </c>
      <c r="Q21" s="2">
        <f>+C21-15018.5</f>
        <v>36357.633999999998</v>
      </c>
    </row>
    <row r="22" spans="1:21" ht="12.95" customHeight="1" x14ac:dyDescent="0.2">
      <c r="A22" s="40" t="s">
        <v>49</v>
      </c>
      <c r="B22" s="41" t="s">
        <v>48</v>
      </c>
      <c r="C22" s="42">
        <v>57242.481160000003</v>
      </c>
      <c r="D22" s="42">
        <v>4.0000000000000002E-4</v>
      </c>
      <c r="E22">
        <f>+(C22-C$7)/C$8</f>
        <v>13636.008368006334</v>
      </c>
      <c r="F22">
        <f>ROUND(2*E22,0)/2</f>
        <v>13636</v>
      </c>
      <c r="G22">
        <f>+C22-(C$7+F22*C$8)</f>
        <v>3.6000000036437996E-3</v>
      </c>
      <c r="K22">
        <f>+G22</f>
        <v>3.6000000036437996E-3</v>
      </c>
      <c r="O22">
        <f ca="1">+C$11+C$12*$F22</f>
        <v>-3.0175957249139261E-2</v>
      </c>
      <c r="Q22" s="2">
        <f>+C22-15018.5</f>
        <v>42223.981160000003</v>
      </c>
    </row>
    <row r="23" spans="1:21" ht="12.95" customHeight="1" x14ac:dyDescent="0.2">
      <c r="A23" s="43" t="s">
        <v>47</v>
      </c>
      <c r="B23" s="44" t="s">
        <v>48</v>
      </c>
      <c r="C23" s="45">
        <v>57153.578300000001</v>
      </c>
      <c r="D23" s="45">
        <v>8.9999999999999998E-4</v>
      </c>
      <c r="E23">
        <f>+(C23-C$7)/C$8</f>
        <v>13429.358452848615</v>
      </c>
      <c r="F23">
        <f>ROUND(2*E23,0)/2</f>
        <v>13429.5</v>
      </c>
      <c r="G23">
        <f>+C23-(C$7+F23*C$8)</f>
        <v>-6.0894999995070975E-2</v>
      </c>
      <c r="K23">
        <f>+G23</f>
        <v>-6.0894999995070975E-2</v>
      </c>
      <c r="O23">
        <f ca="1">+C$11+C$12*$F23</f>
        <v>-3.0658824528491363E-2</v>
      </c>
      <c r="Q23" s="2">
        <f>+C23-15018.5</f>
        <v>42135.078300000001</v>
      </c>
    </row>
    <row r="24" spans="1:21" ht="12.95" customHeight="1" x14ac:dyDescent="0.2">
      <c r="A24" s="46" t="s">
        <v>50</v>
      </c>
      <c r="B24" s="47" t="s">
        <v>51</v>
      </c>
      <c r="C24" s="48">
        <v>57902.393639999907</v>
      </c>
      <c r="D24" s="48">
        <v>2.9999999999999997E-4</v>
      </c>
      <c r="E24">
        <f>+(C24-C$7)/C$8</f>
        <v>15169.939424931799</v>
      </c>
      <c r="F24">
        <f>ROUND(2*E24,0)/2</f>
        <v>15170</v>
      </c>
      <c r="G24">
        <f>+C24-(C$7+F24*C$8)</f>
        <v>-2.6060000091092661E-2</v>
      </c>
      <c r="K24">
        <f>+G24</f>
        <v>-2.6060000091092661E-2</v>
      </c>
      <c r="O24">
        <f ca="1">+C$11+C$12*$F24</f>
        <v>-2.6588943173952238E-2</v>
      </c>
      <c r="Q24" s="2">
        <f>+C24-15018.5</f>
        <v>42883.893639999907</v>
      </c>
    </row>
    <row r="25" spans="1:21" ht="12.95" customHeight="1" x14ac:dyDescent="0.2">
      <c r="A25" s="46" t="s">
        <v>50</v>
      </c>
      <c r="B25" s="47" t="s">
        <v>48</v>
      </c>
      <c r="C25" s="48">
        <v>57988.431510000024</v>
      </c>
      <c r="D25" s="48">
        <v>5.9999999999999995E-4</v>
      </c>
      <c r="E25">
        <f>+(C25-C$7)/C$8</f>
        <v>15369.929824969262</v>
      </c>
      <c r="F25">
        <f>ROUND(2*E25,0)/2</f>
        <v>15370</v>
      </c>
      <c r="G25">
        <f>+C25-(C$7+F25*C$8)</f>
        <v>-3.0189999975846149E-2</v>
      </c>
      <c r="K25">
        <f>+G25</f>
        <v>-3.0189999975846149E-2</v>
      </c>
      <c r="O25">
        <f ca="1">+C$11+C$12*$F25</f>
        <v>-2.612127510678313E-2</v>
      </c>
      <c r="Q25" s="2">
        <f>+C25-15018.5</f>
        <v>42969.931510000024</v>
      </c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5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2024-08-14T05:16:48Z</dcterms:modified>
</cp:coreProperties>
</file>