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5FAD54-7009-4E4C-9AB3-B6E450C64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 s="1"/>
  <c r="G24" i="1" s="1"/>
  <c r="K24" i="1" s="1"/>
  <c r="D9" i="1"/>
  <c r="C9" i="1"/>
  <c r="Q22" i="1"/>
  <c r="Q23" i="1"/>
  <c r="Q24" i="1"/>
  <c r="E21" i="1"/>
  <c r="F21" i="1"/>
  <c r="G21" i="1" s="1"/>
  <c r="I21" i="1" s="1"/>
  <c r="C17" i="1"/>
  <c r="Q21" i="1"/>
  <c r="E23" i="1"/>
  <c r="F23" i="1"/>
  <c r="G23" i="1" s="1"/>
  <c r="K23" i="1" s="1"/>
  <c r="E22" i="1"/>
  <c r="F22" i="1" s="1"/>
  <c r="G22" i="1" s="1"/>
  <c r="K22" i="1" s="1"/>
  <c r="C12" i="1"/>
  <c r="C11" i="1"/>
  <c r="F15" i="1" l="1"/>
  <c r="O23" i="1"/>
  <c r="O21" i="1"/>
  <c r="O24" i="1"/>
  <c r="O22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<sst xmlns="http://schemas.openxmlformats.org/spreadsheetml/2006/main" count="64" uniqueCount="56">
  <si>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</si>
  <si>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</si>
  <si>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</si>
  <si>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</si>
  <si>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</si>
  <si>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</si>
  <si>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</si>
  <si>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</si>
  <si>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</si>
  <si>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</si>
  <si>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</si>
  <si>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</si>
  <si>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</si>
  <si>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</si>
  <si>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</si>
  <si>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</si>
  <si>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</si>
  <si>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</si>
  <si>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</si>
  <si>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</si>
  <si>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</si>
  <si>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</si>
  <si>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</si>
  <si>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</si>
  <si>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</si>
  <si>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</si>
  <si>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</si>
  <si>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</si>
  <si>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</si>
  <si>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</si>
  <si>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</si>
  <si>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</si>
  <si>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</si>
  <si>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</si>
  <si>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</si>
  <si>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</si>
  <si>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</si>
  <si>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</si>
  <si>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</si>
  <si>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</si>
  <si>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</si>
  <si>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</si>
  <si>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V0439 Dra</t>
  </si>
  <si>
    <t>2013a</t>
  </si>
  <si>
    <t xml:space="preserve"> V0439 Dra </t>
  </si>
  <si>
    <t>EW</t>
  </si>
  <si>
    <t>pr_0</t>
  </si>
  <si>
    <t>~</t>
  </si>
  <si>
    <t>V0439 Dra / GSC na</t>
  </si>
  <si>
    <t>as of 2017-11-29</t>
  </si>
  <si>
    <t>GCVS</t>
  </si>
  <si>
    <t>OEJV 0179</t>
  </si>
  <si>
    <t>Next ToM-P</t>
  </si>
  <si>
    <t>Next ToM-S</t>
  </si>
  <si>
    <t>13.35-13.80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</si>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</sst>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0" fillId="0" borderId="0" xfId="0" applyFont="1" applyAlignment="1"/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5" fillId="2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10" fillId="26" borderId="0" xfId="0" applyFont="1" applyFill="1" applyAlignment="1"/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16" fillId="27" borderId="11" xfId="0" applyFont="1" applyFill="1" applyBorder="1" applyAlignment="1">
      <alignment horizontal="right" vertical="center"/>
    </xf>
    <xf numFmtId="0" fontId="16" fillId="27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V0439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7-49B8-99C7-5827AADA7DD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7-49B8-99C7-5827AADA7DD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47-49B8-99C7-5827AADA7DD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0.88823100000445265</c:v>
                </c:pt>
                <c:pt idx="2">
                  <c:v>0.88640400000440422</c:v>
                </c:pt>
                <c:pt idx="3">
                  <c:v>0.92748250000295229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7-49B8-99C7-5827AADA7DD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47-49B8-99C7-5827AADA7DD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47-49B8-99C7-5827AADA7DD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47-49B8-99C7-5827AADA7DD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6.8712106097645109E-2</c:v>
                </c:pt>
                <c:pt idx="1">
                  <c:v>0.88717786868292825</c:v>
                </c:pt>
                <c:pt idx="2">
                  <c:v>0.88746468065439843</c:v>
                </c:pt>
                <c:pt idx="3">
                  <c:v>0.9274749506744826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47-49B8-99C7-5827AADA7DD0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8561</c:v>
                </c:pt>
                <c:pt idx="2">
                  <c:v>8564</c:v>
                </c:pt>
                <c:pt idx="3">
                  <c:v>8982.5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47-49B8-99C7-5827AADA7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38064"/>
        <c:axId val="1"/>
      </c:scatterChart>
      <c:valAx>
        <c:axId val="79433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3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7B63E4-95E7-FAEB-E26D-2563DD79E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2" t="s">
        <v>42</v>
      </c>
      <c r="G1" s="30" t="s">
        <v>43</v>
      </c>
      <c r="H1" s="33"/>
      <c r="I1" s="34" t="s">
        <v>15</v>
      </c>
      <c r="J1" s="35" t="s">
        <v>44</v>
      </c>
      <c r="K1" s="36">
        <v>20.0928</v>
      </c>
      <c r="L1" s="37">
        <v>65.454340000000002</v>
      </c>
      <c r="M1" s="38">
        <v>51484.938999999998</v>
      </c>
      <c r="N1" s="38">
        <v>0.67849899999999996</v>
      </c>
      <c r="O1" s="39" t="s">
        <v>45</v>
      </c>
      <c r="P1" s="37">
        <v>13.35</v>
      </c>
      <c r="Q1" s="37">
        <v>13.8</v>
      </c>
      <c r="R1" s="40" t="s">
        <v>46</v>
      </c>
      <c r="S1" s="41" t="s">
        <v>47</v>
      </c>
    </row>
    <row r="2" spans="1:19" ht="12.95" customHeight="1" x14ac:dyDescent="0.2">
      <c r="A2" t="s">
        <v>25</v>
      </c>
      <c r="B2" t="s">
        <v>45</v>
      </c>
      <c r="C2" s="29"/>
      <c r="D2" s="3"/>
    </row>
    <row r="3" spans="1:19" ht="12.95" customHeight="1" thickBot="1" x14ac:dyDescent="0.25">
      <c r="C3" s="31" t="s">
        <v>49</v>
      </c>
      <c r="D3" s="31"/>
    </row>
    <row r="4" spans="1:19" ht="12.95" customHeight="1" thickTop="1" thickBot="1" x14ac:dyDescent="0.25">
      <c r="A4" s="5" t="s">
        <v>2</v>
      </c>
      <c r="C4" s="26">
        <v>51484.938999999998</v>
      </c>
      <c r="D4" s="27">
        <v>0.67849899999999996</v>
      </c>
    </row>
    <row r="5" spans="1:19" ht="12.95" customHeight="1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ht="12.95" customHeight="1" x14ac:dyDescent="0.2">
      <c r="A6" s="5" t="s">
        <v>3</v>
      </c>
    </row>
    <row r="7" spans="1:19" ht="12.95" customHeight="1" x14ac:dyDescent="0.2">
      <c r="A7" t="s">
        <v>4</v>
      </c>
      <c r="C7" s="46">
        <v>51484.938999999998</v>
      </c>
      <c r="D7" s="28" t="s">
        <v>50</v>
      </c>
    </row>
    <row r="8" spans="1:19" ht="12.95" customHeight="1" x14ac:dyDescent="0.2">
      <c r="A8" t="s">
        <v>5</v>
      </c>
      <c r="C8" s="46">
        <v>0.67849899999999996</v>
      </c>
      <c r="D8" s="28" t="s">
        <v>50</v>
      </c>
    </row>
    <row r="9" spans="1:19" ht="12.95" customHeight="1" x14ac:dyDescent="0.2">
      <c r="A9" s="23" t="s">
        <v>33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19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19" ht="12.95" customHeight="1" x14ac:dyDescent="0.2">
      <c r="A11" s="10" t="s">
        <v>17</v>
      </c>
      <c r="B11" s="10"/>
      <c r="C11" s="20">
        <f ca="1">INTERCEPT(INDIRECT($D$9):G992,INDIRECT($C$9):F992)</f>
        <v>6.8712106097645109E-2</v>
      </c>
      <c r="D11" s="3"/>
      <c r="E11" s="10"/>
    </row>
    <row r="12" spans="1:19" ht="12.95" customHeight="1" x14ac:dyDescent="0.2">
      <c r="A12" s="10" t="s">
        <v>18</v>
      </c>
      <c r="B12" s="10"/>
      <c r="C12" s="20">
        <f ca="1">SLOPE(INDIRECT($D$9):G992,INDIRECT($C$9):F992)</f>
        <v>9.5603990490045925E-5</v>
      </c>
      <c r="D12" s="3"/>
      <c r="E12" s="49" t="s">
        <v>55</v>
      </c>
      <c r="F12" s="50" t="s">
        <v>54</v>
      </c>
    </row>
    <row r="13" spans="1:19" ht="12.95" customHeight="1" x14ac:dyDescent="0.2">
      <c r="A13" s="10" t="s">
        <v>20</v>
      </c>
      <c r="B13" s="10"/>
      <c r="C13" s="3" t="s">
        <v>15</v>
      </c>
      <c r="E13" s="47" t="s">
        <v>34</v>
      </c>
      <c r="F13" s="51">
        <v>1</v>
      </c>
    </row>
    <row r="14" spans="1:19" ht="12.95" customHeight="1" x14ac:dyDescent="0.2">
      <c r="A14" s="10"/>
      <c r="B14" s="10"/>
      <c r="C14" s="10"/>
      <c r="E14" s="47" t="s">
        <v>32</v>
      </c>
      <c r="F14" s="52">
        <f ca="1">NOW()+15018.5+$C$5/24</f>
        <v>60536.724555439811</v>
      </c>
    </row>
    <row r="15" spans="1:19" ht="12.95" customHeight="1" x14ac:dyDescent="0.2">
      <c r="A15" s="12" t="s">
        <v>19</v>
      </c>
      <c r="B15" s="10"/>
      <c r="C15" s="13">
        <f ca="1">(C7+C11)+(C8+C12)*INT(MAX(F21:F3533))</f>
        <v>57580.144445148675</v>
      </c>
      <c r="E15" s="47" t="s">
        <v>35</v>
      </c>
      <c r="F15" s="52">
        <f ca="1">ROUND(2*($F$14-$C$7)/$C$8,0)/2+$F$13</f>
        <v>13342</v>
      </c>
    </row>
    <row r="16" spans="1:19" ht="12.95" customHeight="1" x14ac:dyDescent="0.2">
      <c r="A16" s="15" t="s">
        <v>6</v>
      </c>
      <c r="B16" s="10"/>
      <c r="C16" s="16">
        <f ca="1">+C8+C12</f>
        <v>0.67859460399048999</v>
      </c>
      <c r="E16" s="47" t="s">
        <v>36</v>
      </c>
      <c r="F16" s="52">
        <f ca="1">ROUND(2*($F$14-$C$15)/$C$16,0)/2+$F$13</f>
        <v>4358</v>
      </c>
    </row>
    <row r="17" spans="1:21" ht="12.95" customHeight="1" thickBot="1" x14ac:dyDescent="0.25">
      <c r="A17" s="14" t="s">
        <v>29</v>
      </c>
      <c r="B17" s="10"/>
      <c r="C17" s="10">
        <f>COUNT(C21:C2191)</f>
        <v>4</v>
      </c>
      <c r="E17" s="47" t="s">
        <v>52</v>
      </c>
      <c r="F17" s="53">
        <f ca="1">+$C$15+$C$16*$F$16-15018.5-$C$5/24</f>
        <v>45519.355562672565</v>
      </c>
    </row>
    <row r="18" spans="1:21" ht="12.95" customHeight="1" thickTop="1" thickBot="1" x14ac:dyDescent="0.25">
      <c r="A18" s="15" t="s">
        <v>7</v>
      </c>
      <c r="B18" s="10"/>
      <c r="C18" s="18">
        <f ca="1">+C15</f>
        <v>57580.144445148675</v>
      </c>
      <c r="D18" s="19">
        <f ca="1">+C16</f>
        <v>0.67859460399048999</v>
      </c>
      <c r="E18" s="48" t="s">
        <v>53</v>
      </c>
      <c r="F18" s="54">
        <f ca="1">+($C$15+$C$16*$F$16)-($C$16/2)-15018.5-$C$5/24</f>
        <v>45519.01626537057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41</v>
      </c>
    </row>
    <row r="21" spans="1:21" ht="12.95" customHeight="1" x14ac:dyDescent="0.2">
      <c r="A21" t="s">
        <v>50</v>
      </c>
      <c r="C21" s="8">
        <v>51484.938999999998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6.8712106097645109E-2</v>
      </c>
      <c r="Q21" s="2">
        <f>+C21-15018.5</f>
        <v>36466.438999999998</v>
      </c>
    </row>
    <row r="22" spans="1:21" ht="12.95" customHeight="1" x14ac:dyDescent="0.2">
      <c r="A22" s="42" t="s">
        <v>51</v>
      </c>
      <c r="B22" s="43" t="s">
        <v>0</v>
      </c>
      <c r="C22" s="44">
        <v>57294.457170000001</v>
      </c>
      <c r="D22" s="44">
        <v>5.9999999999999995E-4</v>
      </c>
      <c r="E22">
        <f>+(C22-C$7)/C$8</f>
        <v>8562.3091117304575</v>
      </c>
      <c r="F22" s="45">
        <f>ROUND(2*E22,0)/2-1.5</f>
        <v>8561</v>
      </c>
      <c r="G22">
        <f>+C22-(C$7+F22*C$8)</f>
        <v>0.88823100000445265</v>
      </c>
      <c r="K22">
        <f>+G22</f>
        <v>0.88823100000445265</v>
      </c>
      <c r="O22">
        <f ca="1">+C$11+C$12*$F22</f>
        <v>0.88717786868292825</v>
      </c>
      <c r="Q22" s="2">
        <f>+C22-15018.5</f>
        <v>42275.957170000001</v>
      </c>
    </row>
    <row r="23" spans="1:21" ht="12.95" customHeight="1" x14ac:dyDescent="0.2">
      <c r="A23" s="42" t="s">
        <v>51</v>
      </c>
      <c r="B23" s="43" t="s">
        <v>0</v>
      </c>
      <c r="C23" s="44">
        <v>57296.490839999999</v>
      </c>
      <c r="D23" s="44">
        <v>4.0000000000000002E-4</v>
      </c>
      <c r="E23">
        <f>+(C23-C$7)/C$8</f>
        <v>8565.3064190219884</v>
      </c>
      <c r="F23" s="45">
        <f>ROUND(2*E23,0)/2-1.5</f>
        <v>8564</v>
      </c>
      <c r="G23">
        <f>+C23-(C$7+F23*C$8)</f>
        <v>0.88640400000440422</v>
      </c>
      <c r="K23">
        <f>+G23</f>
        <v>0.88640400000440422</v>
      </c>
      <c r="O23">
        <f ca="1">+C$11+C$12*$F23</f>
        <v>0.88746468065439843</v>
      </c>
      <c r="Q23" s="2">
        <f>+C23-15018.5</f>
        <v>42277.990839999999</v>
      </c>
    </row>
    <row r="24" spans="1:21" ht="12.95" customHeight="1" x14ac:dyDescent="0.2">
      <c r="A24" s="42" t="s">
        <v>51</v>
      </c>
      <c r="B24" s="43" t="s">
        <v>1</v>
      </c>
      <c r="C24" s="44">
        <v>57580.483749999999</v>
      </c>
      <c r="D24" s="44">
        <v>2.9999999999999997E-4</v>
      </c>
      <c r="E24">
        <f>+(C24-C$7)/C$8</f>
        <v>8983.8669622210218</v>
      </c>
      <c r="F24" s="45">
        <f>ROUND(2*E24,0)/2-1.5</f>
        <v>8982.5</v>
      </c>
      <c r="G24">
        <f>+C24-(C$7+F24*C$8)</f>
        <v>0.92748250000295229</v>
      </c>
      <c r="K24">
        <f>+G24</f>
        <v>0.92748250000295229</v>
      </c>
      <c r="O24">
        <f ca="1">+C$11+C$12*$F24</f>
        <v>0.9274749506744826</v>
      </c>
      <c r="Q24" s="2">
        <f>+C24-15018.5</f>
        <v>42561.983749999999</v>
      </c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54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2024-08-14T05:23:21Z</dcterms:modified>
</cp:coreProperties>
</file>