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CE7ABDF-0FBB-45F4-8740-D335189605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Q23" i="1"/>
  <c r="Q24" i="1"/>
  <c r="Q25" i="1"/>
  <c r="Q26" i="1"/>
  <c r="Q22" i="1"/>
  <c r="C8" i="1"/>
  <c r="E23" i="1"/>
  <c r="F23" i="1"/>
  <c r="G23" i="1"/>
  <c r="K23" i="1"/>
  <c r="C9" i="1"/>
  <c r="D9" i="1"/>
  <c r="D8" i="1"/>
  <c r="C17" i="1"/>
  <c r="Q21" i="1"/>
  <c r="E26" i="1"/>
  <c r="F26" i="1"/>
  <c r="G26" i="1"/>
  <c r="K26" i="1"/>
  <c r="E22" i="1"/>
  <c r="F22" i="1"/>
  <c r="U22" i="1"/>
  <c r="E24" i="1"/>
  <c r="F24" i="1"/>
  <c r="G24" i="1"/>
  <c r="K24" i="1"/>
  <c r="E25" i="1"/>
  <c r="F25" i="1"/>
  <c r="G25" i="1"/>
  <c r="K25" i="1"/>
  <c r="E21" i="1"/>
  <c r="F21" i="1"/>
  <c r="G21" i="1"/>
  <c r="I21" i="1"/>
  <c r="C12" i="1"/>
  <c r="C11" i="1"/>
  <c r="F15" i="1" l="1"/>
  <c r="O22" i="1"/>
  <c r="O24" i="1"/>
  <c r="O26" i="1"/>
  <c r="C15" i="1"/>
  <c r="O21" i="1"/>
  <c r="O25" i="1"/>
  <c r="O23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<sst xmlns="http://schemas.openxmlformats.org/spreadsheetml/2006/main" count="66" uniqueCount="56">
  <si>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</si>
  <si>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</si>
  <si>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</si>
  <si>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</si>
  <si>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</si>
  <si>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</si>
  <si>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</si>
  <si>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</si>
  <si>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</si>
  <si>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</si>
  <si>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</si>
  <si>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</si>
  <si>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</si>
  <si>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</si>
  <si>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</si>
  <si>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</si>
  <si>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</si>
  <si>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</si>
  <si>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</si>
  <si>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</si>
  <si>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</si>
  <si>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</si>
  <si>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</si>
  <si>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</si>
  <si>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</si>
  <si>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</si>
  <si>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</si>
  <si>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</si>
  <si>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</si>
  <si>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</si>
  <si>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</si>
  <si>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</si>
  <si>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</si>
  <si>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</si>
  <si>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</si>
  <si>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</si>
  <si>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</si>
  <si>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</si>
  <si>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</si>
  <si>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 xml:space="preserve">V0445 Dra  </t>
  </si>
  <si>
    <t>2017K</t>
  </si>
  <si>
    <t>G4458-0954</t>
  </si>
  <si>
    <t xml:space="preserve">EW        </t>
  </si>
  <si>
    <t>pr_6</t>
  </si>
  <si>
    <t xml:space="preserve">     </t>
  </si>
  <si>
    <t>V0445 Dra   / GSC 4458-0954</t>
  </si>
  <si>
    <t>GCVS</t>
  </si>
  <si>
    <t>I</t>
  </si>
  <si>
    <t>OEJV 0179</t>
  </si>
  <si>
    <t>OEJV 0211</t>
  </si>
  <si>
    <t>II</t>
  </si>
  <si>
    <t>Next ToM-P</t>
  </si>
  <si>
    <t>Next ToM-S</t>
  </si>
  <si>
    <t>13.40-14.10</t>
  </si>
  <si>
    <t xml:space="preserve">Mag R 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</si>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</sst>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3" fillId="0" borderId="14" xfId="0" applyFont="1" applyBorder="1" applyAlignment="1">
      <alignment horizontal="right" vertical="center"/>
    </xf>
    <xf numFmtId="0" fontId="33" fillId="0" borderId="17" xfId="0" applyFont="1" applyBorder="1" applyAlignment="1">
      <alignment horizontal="right" vertical="center"/>
    </xf>
    <xf numFmtId="0" fontId="6" fillId="26" borderId="12" xfId="0" applyFont="1" applyFill="1" applyBorder="1" applyAlignment="1">
      <alignment horizontal="right" vertical="center"/>
    </xf>
    <xf numFmtId="0" fontId="6" fillId="26" borderId="13" xfId="0" applyFont="1" applyFill="1" applyBorder="1" applyAlignment="1">
      <alignment horizontal="center" vertical="center"/>
    </xf>
    <xf numFmtId="0" fontId="34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6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V0445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18-43FB-96A3-86B7870246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18-43FB-96A3-86B7870246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18-43FB-96A3-86B7870246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-7.1314999884634744E-2</c:v>
                </c:pt>
                <c:pt idx="3">
                  <c:v>-7.0820500222907867E-2</c:v>
                </c:pt>
                <c:pt idx="4">
                  <c:v>-7.0167999794648495E-2</c:v>
                </c:pt>
                <c:pt idx="5">
                  <c:v>-6.9713499971840065E-2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18-43FB-96A3-86B7870246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18-43FB-96A3-86B7870246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18-43FB-96A3-86B7870246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18-43FB-96A3-86B7870246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-3.4479184836469501E-6</c:v>
                </c:pt>
                <c:pt idx="1">
                  <c:v>-6.3364274851405528E-2</c:v>
                </c:pt>
                <c:pt idx="2">
                  <c:v>-7.0410174431143085E-2</c:v>
                </c:pt>
                <c:pt idx="3">
                  <c:v>-7.0411916740633601E-2</c:v>
                </c:pt>
                <c:pt idx="4">
                  <c:v>-7.0594859237140151E-2</c:v>
                </c:pt>
                <c:pt idx="5">
                  <c:v>-7.0596601546630694E-2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18-43FB-96A3-86B7870246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4.9707000005582813E-2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18-43FB-96A3-86B78702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48160"/>
        <c:axId val="1"/>
      </c:scatterChart>
      <c:valAx>
        <c:axId val="53214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14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352425</xdr:colOff>
      <xdr:row>18</xdr:row>
      <xdr:rowOff>161925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18CB24-0501-700F-189F-5FED8C548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34" t="s">
        <v>39</v>
      </c>
      <c r="G1" s="29" t="s">
        <v>40</v>
      </c>
      <c r="H1" s="35"/>
      <c r="I1" s="36" t="s">
        <v>41</v>
      </c>
      <c r="J1" s="37" t="s">
        <v>39</v>
      </c>
      <c r="K1" s="38">
        <v>20.2226</v>
      </c>
      <c r="L1" s="31">
        <v>74.043289999999999</v>
      </c>
      <c r="M1" s="32">
        <v>51389.508999999998</v>
      </c>
      <c r="N1" s="32">
        <v>0.32145099999999999</v>
      </c>
      <c r="O1" s="30" t="s">
        <v>42</v>
      </c>
      <c r="P1" s="31">
        <v>13.4</v>
      </c>
      <c r="Q1" s="31">
        <v>14.1</v>
      </c>
      <c r="R1" s="39" t="s">
        <v>43</v>
      </c>
      <c r="S1" s="30" t="s">
        <v>44</v>
      </c>
    </row>
    <row r="2" spans="1:19" ht="12.95" customHeight="1" x14ac:dyDescent="0.2">
      <c r="A2" t="s">
        <v>23</v>
      </c>
      <c r="B2" t="s">
        <v>42</v>
      </c>
      <c r="C2" s="28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5">
        <v>51389.508999999998</v>
      </c>
      <c r="D4" s="26">
        <v>0.32145099999999999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6">
        <v>51389.508999999998</v>
      </c>
      <c r="D7" s="27" t="s">
        <v>46</v>
      </c>
    </row>
    <row r="8" spans="1:19" ht="12.95" customHeight="1" x14ac:dyDescent="0.2">
      <c r="A8" t="s">
        <v>3</v>
      </c>
      <c r="C8" s="46">
        <f>N1</f>
        <v>0.32145099999999999</v>
      </c>
      <c r="D8" s="27" t="str">
        <f>D7</f>
        <v>GCVS</v>
      </c>
    </row>
    <row r="9" spans="1:19" ht="12.95" customHeight="1" x14ac:dyDescent="0.2">
      <c r="A9" s="23" t="s">
        <v>31</v>
      </c>
      <c r="B9" s="33">
        <v>21</v>
      </c>
      <c r="C9" s="21" t="str">
        <f>"F"&amp;B9</f>
        <v>F21</v>
      </c>
      <c r="D9" s="22" t="str">
        <f>"G"&amp;B9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0">
        <f ca="1">INTERCEPT(INDIRECT($D$9):G992,INDIRECT($C$9):F992)</f>
        <v>-3.4479184836469501E-6</v>
      </c>
      <c r="D11" s="3"/>
      <c r="E11" s="10"/>
    </row>
    <row r="12" spans="1:19" ht="12.95" customHeight="1" x14ac:dyDescent="0.2">
      <c r="A12" s="10" t="s">
        <v>16</v>
      </c>
      <c r="B12" s="10"/>
      <c r="C12" s="20">
        <f ca="1">SLOPE(INDIRECT($D$9):G992,INDIRECT($C$9):F992)</f>
        <v>-3.4846189810769328E-6</v>
      </c>
      <c r="D12" s="3"/>
      <c r="E12" s="49" t="s">
        <v>54</v>
      </c>
      <c r="F12" s="50" t="s">
        <v>53</v>
      </c>
    </row>
    <row r="13" spans="1:19" ht="12.95" customHeight="1" x14ac:dyDescent="0.2">
      <c r="A13" s="10" t="s">
        <v>18</v>
      </c>
      <c r="B13" s="10"/>
      <c r="C13" s="3" t="s">
        <v>13</v>
      </c>
      <c r="E13" s="47" t="s">
        <v>32</v>
      </c>
      <c r="F13" s="51">
        <v>1</v>
      </c>
    </row>
    <row r="14" spans="1:19" ht="12.95" customHeight="1" x14ac:dyDescent="0.2">
      <c r="A14" s="10"/>
      <c r="B14" s="10"/>
      <c r="C14" s="10"/>
      <c r="E14" s="47" t="s">
        <v>30</v>
      </c>
      <c r="F14" s="52">
        <f ca="1">NOW()+15018.5+$C$5/24</f>
        <v>60536.729723032404</v>
      </c>
    </row>
    <row r="15" spans="1:19" ht="12.95" customHeight="1" x14ac:dyDescent="0.2">
      <c r="A15" s="12" t="s">
        <v>17</v>
      </c>
      <c r="B15" s="10"/>
      <c r="C15" s="13">
        <f ca="1">(C7+C11)+(C8+C12)*INT(MAX(F21:F3533))</f>
        <v>57901.392763140764</v>
      </c>
      <c r="E15" s="47" t="s">
        <v>33</v>
      </c>
      <c r="F15" s="52">
        <f ca="1">ROUND(2*($F$14-$C$7)/$C$8,0)/2+$F$13</f>
        <v>28457</v>
      </c>
    </row>
    <row r="16" spans="1:19" ht="12.95" customHeight="1" x14ac:dyDescent="0.2">
      <c r="A16" s="15" t="s">
        <v>4</v>
      </c>
      <c r="B16" s="10"/>
      <c r="C16" s="16">
        <f ca="1">+C8+C12</f>
        <v>0.3214475153810189</v>
      </c>
      <c r="E16" s="47" t="s">
        <v>34</v>
      </c>
      <c r="F16" s="52">
        <f ca="1">ROUND(2*($F$14-$C$15)/$C$16,0)/2+$F$13</f>
        <v>8199.5</v>
      </c>
    </row>
    <row r="17" spans="1:21" ht="12.95" customHeight="1" thickBot="1" x14ac:dyDescent="0.25">
      <c r="A17" s="14" t="s">
        <v>27</v>
      </c>
      <c r="B17" s="10"/>
      <c r="C17" s="10">
        <f>COUNT(C21:C2191)</f>
        <v>6</v>
      </c>
      <c r="E17" s="47" t="s">
        <v>51</v>
      </c>
      <c r="F17" s="53">
        <f ca="1">+$C$15+$C$16*$F$16-15018.5-$C$5/24</f>
        <v>45518.997498840763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57901.392763140764</v>
      </c>
      <c r="D18" s="19">
        <f ca="1">+C16</f>
        <v>0.3214475153810189</v>
      </c>
      <c r="E18" s="48" t="s">
        <v>52</v>
      </c>
      <c r="F18" s="54">
        <f ca="1">+($C$15+$C$16*$F$16)-($C$16/2)-15018.5-$C$5/24</f>
        <v>45518.836775083073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36</v>
      </c>
      <c r="J20" s="7" t="s">
        <v>37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55</v>
      </c>
    </row>
    <row r="21" spans="1:21" ht="12.95" customHeight="1" x14ac:dyDescent="0.2">
      <c r="A21" t="s">
        <v>46</v>
      </c>
      <c r="C21" s="8">
        <v>51389.508999999998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-3.4479184836469501E-6</v>
      </c>
      <c r="Q21" s="2">
        <f t="shared" ref="Q21:Q26" si="4">+C21-15018.5</f>
        <v>36371.008999999998</v>
      </c>
    </row>
    <row r="22" spans="1:21" ht="12.95" customHeight="1" x14ac:dyDescent="0.2">
      <c r="A22" s="40" t="s">
        <v>48</v>
      </c>
      <c r="B22" s="41" t="s">
        <v>47</v>
      </c>
      <c r="C22" s="42">
        <v>57234.502240000002</v>
      </c>
      <c r="D22" s="42">
        <v>2.9999999999999997E-4</v>
      </c>
      <c r="E22">
        <f t="shared" si="0"/>
        <v>18183.154633210048</v>
      </c>
      <c r="F22">
        <f t="shared" si="1"/>
        <v>18183</v>
      </c>
      <c r="O22">
        <f t="shared" ca="1" si="3"/>
        <v>-6.3364274851405528E-2</v>
      </c>
      <c r="Q22" s="2">
        <f t="shared" si="4"/>
        <v>42216.002240000002</v>
      </c>
      <c r="U22">
        <f>+C22-(C$7+F22*C$8)</f>
        <v>4.9707000005582813E-2</v>
      </c>
    </row>
    <row r="23" spans="1:21" ht="12.95" customHeight="1" x14ac:dyDescent="0.2">
      <c r="A23" s="43" t="s">
        <v>49</v>
      </c>
      <c r="B23" s="44" t="s">
        <v>50</v>
      </c>
      <c r="C23" s="45">
        <v>57884.355140000116</v>
      </c>
      <c r="D23" s="45">
        <v>4.0000000000000002E-4</v>
      </c>
      <c r="E23">
        <f t="shared" si="0"/>
        <v>20204.778146591918</v>
      </c>
      <c r="F23">
        <f t="shared" si="1"/>
        <v>20205</v>
      </c>
      <c r="G23">
        <f t="shared" si="2"/>
        <v>-7.1314999884634744E-2</v>
      </c>
      <c r="K23">
        <f>+G23</f>
        <v>-7.1314999884634744E-2</v>
      </c>
      <c r="O23">
        <f t="shared" ca="1" si="3"/>
        <v>-7.0410174431143085E-2</v>
      </c>
      <c r="Q23" s="2">
        <f t="shared" si="4"/>
        <v>42865.855140000116</v>
      </c>
    </row>
    <row r="24" spans="1:21" ht="12.95" customHeight="1" x14ac:dyDescent="0.2">
      <c r="A24" s="43" t="s">
        <v>49</v>
      </c>
      <c r="B24" s="44" t="s">
        <v>47</v>
      </c>
      <c r="C24" s="45">
        <v>57884.516359999776</v>
      </c>
      <c r="D24" s="45">
        <v>2.9999999999999997E-4</v>
      </c>
      <c r="E24">
        <f t="shared" si="0"/>
        <v>20205.279684927962</v>
      </c>
      <c r="F24">
        <f t="shared" si="1"/>
        <v>20205.5</v>
      </c>
      <c r="G24">
        <f t="shared" si="2"/>
        <v>-7.0820500222907867E-2</v>
      </c>
      <c r="K24">
        <f>+G24</f>
        <v>-7.0820500222907867E-2</v>
      </c>
      <c r="O24">
        <f t="shared" ca="1" si="3"/>
        <v>-7.0411916740633601E-2</v>
      </c>
      <c r="Q24" s="2">
        <f t="shared" si="4"/>
        <v>42866.016359999776</v>
      </c>
    </row>
    <row r="25" spans="1:21" ht="12.95" customHeight="1" x14ac:dyDescent="0.2">
      <c r="A25" s="43" t="s">
        <v>49</v>
      </c>
      <c r="B25" s="44" t="s">
        <v>50</v>
      </c>
      <c r="C25" s="45">
        <v>57901.393190000206</v>
      </c>
      <c r="D25" s="45">
        <v>2.9999999999999997E-4</v>
      </c>
      <c r="E25">
        <f t="shared" si="0"/>
        <v>20257.781714787659</v>
      </c>
      <c r="F25">
        <f t="shared" si="1"/>
        <v>20258</v>
      </c>
      <c r="G25">
        <f t="shared" si="2"/>
        <v>-7.0167999794648495E-2</v>
      </c>
      <c r="K25">
        <f>+G25</f>
        <v>-7.0167999794648495E-2</v>
      </c>
      <c r="O25">
        <f t="shared" ca="1" si="3"/>
        <v>-7.0594859237140151E-2</v>
      </c>
      <c r="Q25" s="2">
        <f t="shared" si="4"/>
        <v>42882.893190000206</v>
      </c>
    </row>
    <row r="26" spans="1:21" ht="12.95" customHeight="1" x14ac:dyDescent="0.2">
      <c r="A26" s="43" t="s">
        <v>49</v>
      </c>
      <c r="B26" s="44" t="s">
        <v>47</v>
      </c>
      <c r="C26" s="45">
        <v>57901.554370000027</v>
      </c>
      <c r="D26" s="45">
        <v>2.9999999999999997E-4</v>
      </c>
      <c r="E26">
        <f t="shared" si="0"/>
        <v>20258.283128688443</v>
      </c>
      <c r="F26">
        <f t="shared" si="1"/>
        <v>20258.5</v>
      </c>
      <c r="G26">
        <f t="shared" si="2"/>
        <v>-6.9713499971840065E-2</v>
      </c>
      <c r="K26">
        <f>+G26</f>
        <v>-6.9713499971840065E-2</v>
      </c>
      <c r="O26">
        <f t="shared" ca="1" si="3"/>
        <v>-7.0596601546630694E-2</v>
      </c>
      <c r="Q26" s="2">
        <f t="shared" si="4"/>
        <v>42883.054370000027</v>
      </c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2024-08-14T05:30:48Z</dcterms:modified>
</cp:coreProperties>
</file>