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3F69AE9-E920-43BA-AAA1-D4035263CA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F14" i="1"/>
  <c r="E24" i="1"/>
  <c r="F24" i="1" s="1"/>
  <c r="G24" i="1" s="1"/>
  <c r="J24" i="1" s="1"/>
  <c r="G11" i="1"/>
  <c r="F11" i="1"/>
  <c r="Q24" i="1"/>
  <c r="E23" i="1"/>
  <c r="F23" i="1" s="1"/>
  <c r="G23" i="1" s="1"/>
  <c r="J23" i="1" s="1"/>
  <c r="Q23" i="1"/>
  <c r="E21" i="1"/>
  <c r="F21" i="1" s="1"/>
  <c r="G21" i="1" s="1"/>
  <c r="H21" i="1" s="1"/>
  <c r="C17" i="1"/>
  <c r="Q21" i="1"/>
  <c r="C11" i="1"/>
  <c r="F15" i="1" l="1"/>
  <c r="C12" i="1"/>
  <c r="O22" i="1" l="1"/>
  <c r="O21" i="1"/>
  <c r="C15" i="1"/>
  <c r="C16" i="1"/>
  <c r="D18" i="1" s="1"/>
  <c r="O24" i="1"/>
  <c r="O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<sst xmlns="http://schemas.openxmlformats.org/spreadsheetml/2006/main" count="59" uniqueCount="52">
  <si>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</si>
  <si>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</si>
  <si>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</si>
  <si>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</si>
  <si>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</si>
  <si>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</si>
  <si>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</si>
  <si>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</si>
  <si>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</si>
  <si>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</si>
  <si>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</si>
  <si>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</si>
  <si>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</si>
  <si>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</si>
  <si>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</si>
  <si>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</si>
  <si>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</si>
  <si>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</si>
  <si>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</si>
  <si>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</si>
  <si>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</si>
  <si>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</si>
  <si>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</si>
  <si>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</si>
  <si>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</si>
  <si>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</si>
  <si>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</si>
  <si>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</si>
  <si>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</si>
  <si>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</si>
  <si>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</si>
  <si>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</si>
  <si>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</si>
  <si>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</si>
  <si>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</si>
  <si>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</si>
  <si>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</si>
  <si>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</si>
  <si>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</si>
  <si>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</si>
  <si>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EW</t>
  </si>
  <si>
    <t>Dra</t>
  </si>
  <si>
    <t>RHN 2015</t>
  </si>
  <si>
    <t>IBVS 6092</t>
  </si>
  <si>
    <t>CCD</t>
  </si>
  <si>
    <t>V0510 Dra / GSC 4421-0400</t>
  </si>
  <si>
    <t xml:space="preserve">Mag </t>
  </si>
  <si>
    <t>Next ToM-P</t>
  </si>
  <si>
    <t>Next ToM-S</t>
  </si>
  <si>
    <t>13.21 (0.61)</t>
  </si>
  <si>
    <t>VSX</t>
  </si>
  <si>
    <t>Nelson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</si>
</sst>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4" fillId="0" borderId="0" xfId="0" applyFont="1" applyAlignment="1"/>
    <xf numFmtId="0" fontId="15" fillId="0" borderId="7" xfId="0" applyFont="1" applyBorder="1" applyAlignment="1">
      <alignment horizontal="right" vertical="center"/>
    </xf>
    <xf numFmtId="22" fontId="15" fillId="0" borderId="7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3" fillId="0" borderId="0" xfId="0" applyFont="1" applyAlignment="1"/>
    <xf numFmtId="0" fontId="1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V0510 Dra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7636.5</c:v>
                </c:pt>
                <c:pt idx="3">
                  <c:v>10008.5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-3.3296699999482371E-2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92-4B07-A89E-D39F773F72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7636.5</c:v>
                </c:pt>
                <c:pt idx="3">
                  <c:v>10008.5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92-4B07-A89E-D39F773F72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7636.5</c:v>
                </c:pt>
                <c:pt idx="3">
                  <c:v>10008.5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-2.4695500003872439E-2</c:v>
                </c:pt>
                <c:pt idx="3">
                  <c:v>-3.0119499999273103E-2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92-4B07-A89E-D39F773F72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7636.5</c:v>
                </c:pt>
                <c:pt idx="3">
                  <c:v>10008.5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92-4B07-A89E-D39F773F72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7636.5</c:v>
                </c:pt>
                <c:pt idx="3">
                  <c:v>10008.5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92-4B07-A89E-D39F773F72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7636.5</c:v>
                </c:pt>
                <c:pt idx="3">
                  <c:v>10008.5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92-4B07-A89E-D39F773F72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7636.5</c:v>
                </c:pt>
                <c:pt idx="3">
                  <c:v>10008.5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92-4B07-A89E-D39F773F72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7636.5</c:v>
                </c:pt>
                <c:pt idx="3">
                  <c:v>10008.5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-2.4798362317647246E-4</c:v>
                </c:pt>
                <c:pt idx="1">
                  <c:v>-2.4798362317647246E-4</c:v>
                </c:pt>
                <c:pt idx="2">
                  <c:v>-2.3649149205996509E-2</c:v>
                </c:pt>
                <c:pt idx="3">
                  <c:v>-3.091786717397256E-2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92-4B07-A89E-D39F773F72E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7636.5</c:v>
                </c:pt>
                <c:pt idx="3">
                  <c:v>10008.5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92-4B07-A89E-D39F773F7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38784"/>
        <c:axId val="1"/>
      </c:scatterChart>
      <c:valAx>
        <c:axId val="794338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38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7AFC22-6A68-6AD4-A1A7-DED2FD6CF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7" t="s">
        <v>45</v>
      </c>
    </row>
    <row r="2" spans="1:7" ht="12.95" customHeight="1" x14ac:dyDescent="0.2">
      <c r="A2" t="s">
        <v>24</v>
      </c>
      <c r="B2" t="s">
        <v>40</v>
      </c>
      <c r="C2" s="2"/>
      <c r="D2" t="s">
        <v>41</v>
      </c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7" t="s">
        <v>39</v>
      </c>
      <c r="D4" s="8" t="s">
        <v>39</v>
      </c>
    </row>
    <row r="5" spans="1:7" ht="12.95" customHeight="1" x14ac:dyDescent="0.2"/>
    <row r="6" spans="1:7" ht="12.95" customHeight="1" x14ac:dyDescent="0.2">
      <c r="A6" s="4" t="s">
        <v>1</v>
      </c>
      <c r="E6" s="38" t="s">
        <v>12</v>
      </c>
    </row>
    <row r="7" spans="1:7" ht="12.95" customHeight="1" x14ac:dyDescent="0.2">
      <c r="A7" t="s">
        <v>2</v>
      </c>
      <c r="C7" s="26">
        <v>53818.2929</v>
      </c>
      <c r="D7" s="37" t="s">
        <v>50</v>
      </c>
      <c r="E7" s="39">
        <v>53818.259603300001</v>
      </c>
    </row>
    <row r="8" spans="1:7" ht="12.95" customHeight="1" x14ac:dyDescent="0.2">
      <c r="A8" t="s">
        <v>3</v>
      </c>
      <c r="C8" s="26">
        <v>0.33296700000000001</v>
      </c>
      <c r="D8" s="37" t="s">
        <v>50</v>
      </c>
      <c r="E8" s="40">
        <v>0.33296700000000001</v>
      </c>
    </row>
    <row r="9" spans="1:7" ht="12.95" customHeight="1" x14ac:dyDescent="0.2">
      <c r="A9" s="10" t="s">
        <v>31</v>
      </c>
      <c r="B9" s="11"/>
      <c r="C9" s="12">
        <v>-9.5</v>
      </c>
      <c r="D9" s="11" t="s">
        <v>32</v>
      </c>
      <c r="E9" s="11"/>
    </row>
    <row r="10" spans="1:7" ht="12.95" customHeight="1" thickBot="1" x14ac:dyDescent="0.25">
      <c r="A10" s="11"/>
      <c r="B10" s="11"/>
      <c r="C10" s="3" t="s">
        <v>20</v>
      </c>
      <c r="D10" s="3" t="s">
        <v>21</v>
      </c>
      <c r="E10" s="11"/>
    </row>
    <row r="11" spans="1:7" ht="12.95" customHeight="1" x14ac:dyDescent="0.2">
      <c r="A11" s="11" t="s">
        <v>16</v>
      </c>
      <c r="B11" s="11"/>
      <c r="C11" s="20">
        <f ca="1">INTERCEPT(INDIRECT($G$11):G992,INDIRECT($F$11):F992)</f>
        <v>-2.4798362317647246E-4</v>
      </c>
      <c r="D11" s="2"/>
      <c r="E11" s="11"/>
      <c r="F11" s="21" t="str">
        <f>"F"&amp;E19</f>
        <v>F22</v>
      </c>
      <c r="G11" s="22" t="str">
        <f>"G"&amp;E19</f>
        <v>G22</v>
      </c>
    </row>
    <row r="12" spans="1:7" ht="12.95" customHeight="1" x14ac:dyDescent="0.2">
      <c r="A12" s="11" t="s">
        <v>17</v>
      </c>
      <c r="B12" s="11"/>
      <c r="C12" s="20">
        <f ca="1">SLOPE(INDIRECT($G$11):G992,INDIRECT($F$11):F992)</f>
        <v>-3.0643836289949632E-6</v>
      </c>
      <c r="D12" s="2"/>
      <c r="E12" s="31" t="s">
        <v>46</v>
      </c>
      <c r="F12" s="32" t="s">
        <v>49</v>
      </c>
    </row>
    <row r="13" spans="1:7" ht="12.95" customHeight="1" x14ac:dyDescent="0.2">
      <c r="A13" s="11" t="s">
        <v>19</v>
      </c>
      <c r="B13" s="11"/>
      <c r="C13" s="2" t="s">
        <v>14</v>
      </c>
      <c r="D13" s="15"/>
      <c r="E13" s="28" t="s">
        <v>36</v>
      </c>
      <c r="F13" s="33">
        <v>1</v>
      </c>
    </row>
    <row r="14" spans="1:7" ht="12.95" customHeight="1" x14ac:dyDescent="0.2">
      <c r="A14" s="11"/>
      <c r="B14" s="11"/>
      <c r="C14" s="11"/>
      <c r="D14" s="15"/>
      <c r="E14" s="28" t="s">
        <v>33</v>
      </c>
      <c r="F14" s="34">
        <f ca="1">NOW()+15018.5+$C$9/24</f>
        <v>60536.751370486112</v>
      </c>
    </row>
    <row r="15" spans="1:7" ht="12.95" customHeight="1" x14ac:dyDescent="0.2">
      <c r="A15" s="13" t="s">
        <v>18</v>
      </c>
      <c r="B15" s="11"/>
      <c r="C15" s="14">
        <f ca="1">(C7+C11)+(C8+C12)*INT(MAX(F21:F3533))</f>
        <v>57150.595719665012</v>
      </c>
      <c r="D15" s="15"/>
      <c r="E15" s="28" t="s">
        <v>37</v>
      </c>
      <c r="F15" s="34">
        <f ca="1">ROUND(2*($F$14-$C$7)/$C$8,0)/2+$F$13</f>
        <v>20178.5</v>
      </c>
    </row>
    <row r="16" spans="1:7" ht="12.95" customHeight="1" x14ac:dyDescent="0.2">
      <c r="A16" s="16" t="s">
        <v>4</v>
      </c>
      <c r="B16" s="11"/>
      <c r="C16" s="17">
        <f ca="1">+C8+C12</f>
        <v>0.332963935616371</v>
      </c>
      <c r="D16" s="15"/>
      <c r="E16" s="28" t="s">
        <v>38</v>
      </c>
      <c r="F16" s="34">
        <f ca="1">ROUND(2*($F$14-$C$15)/$C$16,0)/2+$F$13</f>
        <v>10170.5</v>
      </c>
    </row>
    <row r="17" spans="1:22" ht="12.95" customHeight="1" thickBot="1" x14ac:dyDescent="0.25">
      <c r="A17" s="15" t="s">
        <v>30</v>
      </c>
      <c r="B17" s="11"/>
      <c r="C17" s="11">
        <f>COUNT(C21:C2191)</f>
        <v>4</v>
      </c>
      <c r="D17" s="15"/>
      <c r="E17" s="29" t="s">
        <v>47</v>
      </c>
      <c r="F17" s="35">
        <f ca="1">+$C$15+$C$16*$F$16-15018.5-$C$9/24</f>
        <v>45518.901260184648</v>
      </c>
    </row>
    <row r="18" spans="1:22" ht="12.95" customHeight="1" thickTop="1" thickBot="1" x14ac:dyDescent="0.25">
      <c r="A18" s="16" t="s">
        <v>5</v>
      </c>
      <c r="B18" s="11"/>
      <c r="C18" s="18">
        <f ca="1">+C15</f>
        <v>57150.595719665012</v>
      </c>
      <c r="D18" s="19">
        <f ca="1">+C16</f>
        <v>0.332963935616371</v>
      </c>
      <c r="E18" s="30" t="s">
        <v>48</v>
      </c>
      <c r="F18" s="36">
        <f ca="1">+($C$15+$C$16*$F$16)-($C$16/2)-15018.5-$C$9/24</f>
        <v>45518.734778216836</v>
      </c>
    </row>
    <row r="19" spans="1:22" ht="12.95" customHeight="1" thickTop="1" x14ac:dyDescent="0.2">
      <c r="A19" s="23" t="s">
        <v>34</v>
      </c>
      <c r="E19" s="24">
        <v>22</v>
      </c>
    </row>
    <row r="20" spans="1:22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29</v>
      </c>
      <c r="I20" s="6" t="s">
        <v>50</v>
      </c>
      <c r="J20" s="6" t="s">
        <v>44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15</v>
      </c>
      <c r="R20" s="25" t="s">
        <v>35</v>
      </c>
    </row>
    <row r="21" spans="1:22" ht="12.95" customHeight="1" x14ac:dyDescent="0.2">
      <c r="A21" t="s">
        <v>12</v>
      </c>
      <c r="C21" s="9">
        <v>53818.259603300001</v>
      </c>
      <c r="D21" s="9" t="s">
        <v>14</v>
      </c>
      <c r="E21">
        <f>+(C21-C$7)/C$8</f>
        <v>-9.9999999998445402E-2</v>
      </c>
      <c r="F21">
        <f>ROUND(2*E21,0)/2</f>
        <v>0</v>
      </c>
      <c r="G21">
        <f>+C21-(C$7+F21*C$8)</f>
        <v>-3.3296699999482371E-2</v>
      </c>
      <c r="H21">
        <f>+G21</f>
        <v>-3.3296699999482371E-2</v>
      </c>
      <c r="O21">
        <f ca="1">+C$11+C$12*$F21</f>
        <v>-2.4798362317647246E-4</v>
      </c>
      <c r="Q21" s="1">
        <f>+C21-15018.5</f>
        <v>38799.759603300001</v>
      </c>
    </row>
    <row r="22" spans="1:22" ht="12.95" customHeight="1" x14ac:dyDescent="0.2">
      <c r="A22" s="37" t="s">
        <v>50</v>
      </c>
      <c r="C22" s="9">
        <v>53818.2929</v>
      </c>
      <c r="D22" s="9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-2.4798362317647246E-4</v>
      </c>
      <c r="Q22" s="1">
        <f>+C22-15018.5</f>
        <v>38799.7929</v>
      </c>
    </row>
    <row r="23" spans="1:22" ht="12.95" customHeight="1" x14ac:dyDescent="0.2">
      <c r="A23" s="4" t="s">
        <v>43</v>
      </c>
      <c r="C23" s="9">
        <v>56360.970699999998</v>
      </c>
      <c r="D23" s="9">
        <v>2.0000000000000001E-4</v>
      </c>
      <c r="E23">
        <f>+(C23-C$7)/C$8</f>
        <v>7636.4258319893488</v>
      </c>
      <c r="F23">
        <f>ROUND(2*E23,0)/2</f>
        <v>7636.5</v>
      </c>
      <c r="G23">
        <f>+C23-(C$7+F23*C$8)</f>
        <v>-2.4695500003872439E-2</v>
      </c>
      <c r="J23">
        <f>+G23</f>
        <v>-2.4695500003872439E-2</v>
      </c>
      <c r="O23">
        <f ca="1">+C$11+C$12*$F23</f>
        <v>-2.3649149205996509E-2</v>
      </c>
      <c r="Q23" s="1">
        <f>+C23-15018.5</f>
        <v>41342.470699999998</v>
      </c>
      <c r="V23" s="37" t="s">
        <v>51</v>
      </c>
    </row>
    <row r="24" spans="1:22" ht="12.95" customHeight="1" x14ac:dyDescent="0.2">
      <c r="A24" s="4" t="s">
        <v>42</v>
      </c>
      <c r="C24" s="9">
        <v>57150.762999999999</v>
      </c>
      <c r="D24" s="9">
        <v>2.0000000000000001E-4</v>
      </c>
      <c r="E24">
        <f>+(C24-C$7)/C$8</f>
        <v>10008.409542086749</v>
      </c>
      <c r="F24">
        <f>ROUND(2*E24,0)/2</f>
        <v>10008.5</v>
      </c>
      <c r="G24">
        <f>+C24-(C$7+F24*C$8)</f>
        <v>-3.0119499999273103E-2</v>
      </c>
      <c r="J24">
        <f>+G24</f>
        <v>-3.0119499999273103E-2</v>
      </c>
      <c r="O24">
        <f ca="1">+C$11+C$12*$F24</f>
        <v>-3.091786717397256E-2</v>
      </c>
      <c r="Q24" s="1">
        <f>+C24-15018.5</f>
        <v>42132.262999999999</v>
      </c>
      <c r="V24" s="37" t="s">
        <v>51</v>
      </c>
    </row>
    <row r="25" spans="1:22" ht="12.95" customHeight="1" x14ac:dyDescent="0.2">
      <c r="C25" s="9"/>
      <c r="D25" s="9"/>
      <c r="Q25" s="1"/>
    </row>
    <row r="26" spans="1:22" ht="12.95" customHeight="1" x14ac:dyDescent="0.2">
      <c r="C26" s="9"/>
      <c r="D26" s="9"/>
      <c r="Q26" s="1"/>
    </row>
    <row r="27" spans="1:22" ht="12.95" customHeight="1" x14ac:dyDescent="0.2">
      <c r="C27" s="9"/>
      <c r="D27" s="9"/>
      <c r="Q27" s="1"/>
    </row>
    <row r="28" spans="1:22" ht="12.95" customHeight="1" x14ac:dyDescent="0.2">
      <c r="C28" s="9"/>
      <c r="D28" s="9"/>
      <c r="Q28" s="1"/>
    </row>
    <row r="29" spans="1:22" ht="12.95" customHeight="1" x14ac:dyDescent="0.2">
      <c r="C29" s="9"/>
      <c r="D29" s="9"/>
      <c r="Q29" s="1"/>
    </row>
    <row r="30" spans="1:22" ht="12.95" customHeight="1" x14ac:dyDescent="0.2">
      <c r="C30" s="9"/>
      <c r="D30" s="9"/>
      <c r="Q30" s="1"/>
    </row>
    <row r="31" spans="1:22" ht="12.95" customHeight="1" x14ac:dyDescent="0.2">
      <c r="C31" s="9"/>
      <c r="D31" s="9"/>
      <c r="Q31" s="1"/>
    </row>
    <row r="32" spans="1:22" ht="12.95" customHeight="1" x14ac:dyDescent="0.2">
      <c r="C32" s="9"/>
      <c r="D32" s="9"/>
      <c r="Q32" s="1"/>
    </row>
    <row r="33" spans="3:17" ht="12.95" customHeight="1" x14ac:dyDescent="0.2">
      <c r="C33" s="9"/>
      <c r="D33" s="9"/>
      <c r="Q33" s="1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ht="12.95" customHeight="1" x14ac:dyDescent="0.2">
      <c r="C40" s="9"/>
      <c r="D40" s="9"/>
    </row>
    <row r="41" spans="3:17" ht="12.95" customHeight="1" x14ac:dyDescent="0.2">
      <c r="C41" s="9"/>
      <c r="D41" s="9"/>
    </row>
    <row r="42" spans="3:17" ht="12.95" customHeight="1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ortState xmlns:xlrd2="http://schemas.microsoft.com/office/spreadsheetml/2017/richdata2" ref="A21:X33">
    <sortCondition ref="C21:C33"/>
  </sortState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2024-08-14T06:01:58Z</dcterms:modified>
</cp:coreProperties>
</file>