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CF46133-32E2-46E4-A3B5-F9D1F0AE1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3" i="1"/>
  <c r="F23" i="1" s="1"/>
  <c r="G23" i="1" s="1"/>
  <c r="I23" i="1" s="1"/>
  <c r="G11" i="1"/>
  <c r="F11" i="1"/>
  <c r="Q23" i="1"/>
  <c r="E22" i="1"/>
  <c r="F22" i="1" s="1"/>
  <c r="G22" i="1" s="1"/>
  <c r="I22" i="1" s="1"/>
  <c r="Q22" i="1"/>
  <c r="E21" i="1"/>
  <c r="F21" i="1"/>
  <c r="G21" i="1" s="1"/>
  <c r="H21" i="1" s="1"/>
  <c r="C17" i="1"/>
  <c r="Q21" i="1"/>
  <c r="C12" i="1"/>
  <c r="F15" i="1" l="1"/>
  <c r="C16" i="1"/>
  <c r="D18" i="1" s="1"/>
  <c r="C11" i="1"/>
  <c r="O21" i="1" l="1"/>
  <c r="O23" i="1"/>
  <c r="C15" i="1"/>
  <c r="O22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<sst xmlns="http://schemas.openxmlformats.org/spreadsheetml/2006/main" count="59" uniqueCount="54">
  <si>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</si>
  <si>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</si>
  <si>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</si>
  <si>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</si>
  <si>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</si>
  <si>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</si>
  <si>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</si>
  <si>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</si>
  <si>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</si>
  <si>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</si>
  <si>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</si>
  <si>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</si>
  <si>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</si>
  <si>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</si>
  <si>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</si>
  <si>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</si>
  <si>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</si>
  <si>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</si>
  <si>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</si>
  <si>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</si>
  <si>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</si>
  <si>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</si>
  <si>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</si>
  <si>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</si>
  <si>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</si>
  <si>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</si>
  <si>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</si>
  <si>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</si>
  <si>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</si>
  <si>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</si>
  <si>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</si>
  <si>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</si>
  <si>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</si>
  <si>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</si>
  <si>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</si>
  <si>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</si>
  <si>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</si>
  <si>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RHN 2013</t>
  </si>
  <si>
    <t>Dra</t>
  </si>
  <si>
    <t>OEJV 0104</t>
  </si>
  <si>
    <t>not avail.</t>
  </si>
  <si>
    <t>OEJV</t>
  </si>
  <si>
    <t>EW</t>
  </si>
  <si>
    <t>V0541 Dra / GSC 4453-0432</t>
  </si>
  <si>
    <t>CCD</t>
  </si>
  <si>
    <t xml:space="preserve">Mag </t>
  </si>
  <si>
    <t>Next ToM-P</t>
  </si>
  <si>
    <t>Next ToM-S</t>
  </si>
  <si>
    <t>12.02-12.48</t>
  </si>
  <si>
    <t>VSX</t>
  </si>
  <si>
    <t>OEJV 104</t>
  </si>
  <si>
    <t>?ERROR?</t>
  </si>
  <si>
    <t>Nelson pc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</si>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</sst>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8" fillId="2" borderId="0" xfId="0" applyFont="1" applyFill="1" applyAlignment="1"/>
    <xf numFmtId="0" fontId="14" fillId="0" borderId="0" xfId="0" applyFont="1" applyAlignment="1"/>
    <xf numFmtId="0" fontId="0" fillId="0" borderId="0" xfId="0" applyAlignment="1">
      <alignment horizontal="right"/>
    </xf>
    <xf numFmtId="0" fontId="13" fillId="0" borderId="0" xfId="0" applyFont="1" applyAlignment="1"/>
    <xf numFmtId="0" fontId="15" fillId="0" borderId="8" xfId="0" applyFont="1" applyBorder="1" applyAlignment="1">
      <alignment horizontal="right" vertical="center"/>
    </xf>
    <xf numFmtId="22" fontId="15" fillId="0" borderId="8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3" fillId="3" borderId="6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>
      <alignment horizontal="center" vertical="center"/>
    </xf>
    <xf numFmtId="0" fontId="13" fillId="0" borderId="11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V0541 Dra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4482.5</c:v>
                </c:pt>
                <c:pt idx="2">
                  <c:v>4602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B3-47D4-91F1-9531C8C82D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4482.5</c:v>
                </c:pt>
                <c:pt idx="2">
                  <c:v>4602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-1.2100324999992154</c:v>
                </c:pt>
                <c:pt idx="2">
                  <c:v>-1.213421999993443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B3-47D4-91F1-9531C8C82DA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4482.5</c:v>
                </c:pt>
                <c:pt idx="2">
                  <c:v>4602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B3-47D4-91F1-9531C8C82DA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4482.5</c:v>
                </c:pt>
                <c:pt idx="2">
                  <c:v>4602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B3-47D4-91F1-9531C8C82DA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4482.5</c:v>
                </c:pt>
                <c:pt idx="2">
                  <c:v>4602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B3-47D4-91F1-9531C8C82D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4482.5</c:v>
                </c:pt>
                <c:pt idx="2">
                  <c:v>4602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B3-47D4-91F1-9531C8C82D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4482.5</c:v>
                </c:pt>
                <c:pt idx="2">
                  <c:v>4602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B3-47D4-91F1-9531C8C82D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4482.5</c:v>
                </c:pt>
                <c:pt idx="2">
                  <c:v>4602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-3.745614037958811E-4</c:v>
                </c:pt>
                <c:pt idx="1">
                  <c:v>-1.1956079679467586</c:v>
                </c:pt>
                <c:pt idx="2">
                  <c:v>-1.2274719706421036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B3-47D4-91F1-9531C8C82DA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4482.5</c:v>
                </c:pt>
                <c:pt idx="2">
                  <c:v>4602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B3-47D4-91F1-9531C8C82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56064"/>
        <c:axId val="1"/>
      </c:scatterChart>
      <c:valAx>
        <c:axId val="79435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56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47368421052632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9525</xdr:rowOff>
    </xdr:from>
    <xdr:to>
      <xdr:col>17</xdr:col>
      <xdr:colOff>238125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214F0DA-DD5D-9F6A-6906-C81D4937E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710937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8" t="s">
        <v>43</v>
      </c>
    </row>
    <row r="2" spans="1:7" ht="12.95" customHeight="1" x14ac:dyDescent="0.2">
      <c r="A2" t="s">
        <v>23</v>
      </c>
      <c r="B2" t="s">
        <v>42</v>
      </c>
      <c r="C2" s="2"/>
      <c r="D2" s="2" t="s">
        <v>38</v>
      </c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7" t="s">
        <v>40</v>
      </c>
      <c r="D4" s="8" t="s">
        <v>40</v>
      </c>
    </row>
    <row r="5" spans="1:7" ht="12.95" customHeight="1" x14ac:dyDescent="0.2"/>
    <row r="6" spans="1:7" ht="12.95" customHeight="1" x14ac:dyDescent="0.2">
      <c r="A6" s="4" t="s">
        <v>1</v>
      </c>
      <c r="E6" s="41" t="s">
        <v>50</v>
      </c>
      <c r="F6" s="42"/>
    </row>
    <row r="7" spans="1:7" ht="12.95" customHeight="1" x14ac:dyDescent="0.2">
      <c r="A7" t="s">
        <v>2</v>
      </c>
      <c r="C7" s="29">
        <v>53850.49</v>
      </c>
      <c r="D7" s="40" t="s">
        <v>49</v>
      </c>
      <c r="E7" s="43">
        <v>53850.49</v>
      </c>
      <c r="F7" s="44"/>
    </row>
    <row r="8" spans="1:7" ht="12.95" customHeight="1" x14ac:dyDescent="0.2">
      <c r="A8" t="s">
        <v>3</v>
      </c>
      <c r="C8" s="29">
        <v>0.55946099999999999</v>
      </c>
      <c r="D8" s="40" t="s">
        <v>49</v>
      </c>
      <c r="E8" s="45">
        <v>0.55046099999999998</v>
      </c>
      <c r="F8" s="46" t="s">
        <v>51</v>
      </c>
    </row>
    <row r="9" spans="1:7" ht="12.95" customHeight="1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7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7" ht="12.95" customHeight="1" x14ac:dyDescent="0.2">
      <c r="A11" s="11" t="s">
        <v>15</v>
      </c>
      <c r="B11" s="11"/>
      <c r="C11" s="20">
        <f ca="1">INTERCEPT(INDIRECT($G$11):G992,INDIRECT($F$11):F992)</f>
        <v>-3.745614037958811E-4</v>
      </c>
      <c r="D11" s="2"/>
      <c r="E11" s="11"/>
      <c r="F11" s="21" t="str">
        <f>"F"&amp;E19</f>
        <v>F21</v>
      </c>
      <c r="G11" s="22" t="str">
        <f>"G"&amp;E19</f>
        <v>G21</v>
      </c>
    </row>
    <row r="12" spans="1:7" ht="12.95" customHeight="1" x14ac:dyDescent="0.2">
      <c r="A12" s="11" t="s">
        <v>16</v>
      </c>
      <c r="B12" s="11"/>
      <c r="C12" s="20">
        <f ca="1">SLOPE(INDIRECT($G$11):G992,INDIRECT($F$11):F992)</f>
        <v>-2.6664437401962361E-4</v>
      </c>
      <c r="D12" s="2"/>
      <c r="E12" s="34" t="s">
        <v>45</v>
      </c>
      <c r="F12" s="35" t="s">
        <v>48</v>
      </c>
    </row>
    <row r="13" spans="1:7" ht="12.95" customHeight="1" x14ac:dyDescent="0.2">
      <c r="A13" s="11" t="s">
        <v>18</v>
      </c>
      <c r="B13" s="11"/>
      <c r="C13" s="2" t="s">
        <v>13</v>
      </c>
      <c r="D13" s="15"/>
      <c r="E13" s="31" t="s">
        <v>34</v>
      </c>
      <c r="F13" s="36">
        <v>1</v>
      </c>
    </row>
    <row r="14" spans="1:7" ht="12.95" customHeight="1" x14ac:dyDescent="0.2">
      <c r="A14" s="11"/>
      <c r="B14" s="11"/>
      <c r="C14" s="11"/>
      <c r="D14" s="15"/>
      <c r="E14" s="31" t="s">
        <v>31</v>
      </c>
      <c r="F14" s="37">
        <f ca="1">NOW()+15018.5+$C$9/24</f>
        <v>60536.767435300921</v>
      </c>
    </row>
    <row r="15" spans="1:7" ht="12.95" customHeight="1" x14ac:dyDescent="0.2">
      <c r="A15" s="13" t="s">
        <v>17</v>
      </c>
      <c r="B15" s="11"/>
      <c r="C15" s="14">
        <f ca="1">(C7+C11)+(C8+C12)*INT(MAX(F21:F3533))</f>
        <v>56423.902050029355</v>
      </c>
      <c r="D15" s="15"/>
      <c r="E15" s="31" t="s">
        <v>35</v>
      </c>
      <c r="F15" s="37">
        <f ca="1">ROUND(2*($F$14-$C$7)/$C$8,0)/2+$F$13</f>
        <v>11952.5</v>
      </c>
    </row>
    <row r="16" spans="1:7" ht="12.95" customHeight="1" x14ac:dyDescent="0.2">
      <c r="A16" s="16" t="s">
        <v>4</v>
      </c>
      <c r="B16" s="11"/>
      <c r="C16" s="17">
        <f ca="1">+C8+C12</f>
        <v>0.55919435562598041</v>
      </c>
      <c r="D16" s="15"/>
      <c r="E16" s="31" t="s">
        <v>36</v>
      </c>
      <c r="F16" s="37">
        <f ca="1">ROUND(2*($F$14-$C$15)/$C$16,0)/2+$F$13</f>
        <v>7356</v>
      </c>
    </row>
    <row r="17" spans="1:23" ht="12.95" customHeight="1" thickBot="1" x14ac:dyDescent="0.25">
      <c r="A17" s="15" t="s">
        <v>28</v>
      </c>
      <c r="B17" s="11"/>
      <c r="C17" s="11">
        <f>COUNT(C21:C2191)</f>
        <v>3</v>
      </c>
      <c r="D17" s="15"/>
      <c r="E17" s="32" t="s">
        <v>46</v>
      </c>
      <c r="F17" s="38">
        <f ca="1">+$C$15+$C$16*$F$16-15018.5-$C$9/24</f>
        <v>45519.231563347399</v>
      </c>
    </row>
    <row r="18" spans="1:23" ht="12.95" customHeight="1" thickTop="1" thickBot="1" x14ac:dyDescent="0.25">
      <c r="A18" s="16" t="s">
        <v>5</v>
      </c>
      <c r="B18" s="11"/>
      <c r="C18" s="18">
        <f ca="1">+C15</f>
        <v>56423.902050029355</v>
      </c>
      <c r="D18" s="19">
        <f ca="1">+C16</f>
        <v>0.55919435562598041</v>
      </c>
      <c r="E18" s="33" t="s">
        <v>47</v>
      </c>
      <c r="F18" s="39">
        <f ca="1">+($C$15+$C$16*$F$16)-($C$16/2)-15018.5-$C$9/24</f>
        <v>45518.951966169589</v>
      </c>
    </row>
    <row r="19" spans="1:23" ht="12.95" customHeight="1" thickTop="1" x14ac:dyDescent="0.2">
      <c r="A19" s="23" t="s">
        <v>32</v>
      </c>
      <c r="E19" s="24">
        <v>21</v>
      </c>
    </row>
    <row r="20" spans="1:23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41</v>
      </c>
      <c r="I20" s="6" t="s">
        <v>44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5" t="s">
        <v>33</v>
      </c>
    </row>
    <row r="21" spans="1:23" ht="12.95" customHeight="1" x14ac:dyDescent="0.2">
      <c r="A21" s="26" t="s">
        <v>39</v>
      </c>
      <c r="C21" s="9">
        <v>53850.49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-3.745614037958811E-4</v>
      </c>
      <c r="Q21" s="1">
        <f>+C21-15018.5</f>
        <v>38831.99</v>
      </c>
    </row>
    <row r="22" spans="1:23" ht="12.95" customHeight="1" x14ac:dyDescent="0.2">
      <c r="A22" s="4" t="s">
        <v>37</v>
      </c>
      <c r="C22" s="9">
        <v>56357.063900000001</v>
      </c>
      <c r="D22" s="9">
        <v>4.0000000000000002E-4</v>
      </c>
      <c r="E22">
        <f>+(C22-C$7)/C$8</f>
        <v>4480.3371459315358</v>
      </c>
      <c r="F22" s="27">
        <f>ROUND(2*E22,0)/2+2</f>
        <v>4482.5</v>
      </c>
      <c r="G22">
        <f>+C22-(C$7+F22*C$8)</f>
        <v>-1.2100324999992154</v>
      </c>
      <c r="I22">
        <f>+G22</f>
        <v>-1.2100324999992154</v>
      </c>
      <c r="O22">
        <f ca="1">+C$11+C$12*$F22</f>
        <v>-1.1956079679467586</v>
      </c>
      <c r="Q22" s="1">
        <f>+C22-15018.5</f>
        <v>41338.563900000001</v>
      </c>
      <c r="W22" s="30" t="s">
        <v>52</v>
      </c>
    </row>
    <row r="23" spans="1:23" ht="12.95" customHeight="1" x14ac:dyDescent="0.2">
      <c r="A23" s="4" t="s">
        <v>37</v>
      </c>
      <c r="C23" s="9">
        <v>56423.916100000002</v>
      </c>
      <c r="D23" s="9">
        <v>8.0000000000000004E-4</v>
      </c>
      <c r="E23">
        <f>+(C23-C$7)/C$8</f>
        <v>4599.8310874216513</v>
      </c>
      <c r="F23" s="27">
        <f>ROUND(2*E23,0)/2+2</f>
        <v>4602</v>
      </c>
      <c r="G23">
        <f>+C23-(C$7+F23*C$8)</f>
        <v>-1.213421999993443</v>
      </c>
      <c r="I23">
        <f>+G23</f>
        <v>-1.213421999993443</v>
      </c>
      <c r="O23">
        <f ca="1">+C$11+C$12*$F23</f>
        <v>-1.2274719706421036</v>
      </c>
      <c r="Q23" s="1">
        <f>+C23-15018.5</f>
        <v>41405.416100000002</v>
      </c>
      <c r="W23" s="30" t="s">
        <v>52</v>
      </c>
    </row>
    <row r="24" spans="1:23" ht="12.95" customHeight="1" x14ac:dyDescent="0.2">
      <c r="C24" s="9"/>
      <c r="D24" s="9"/>
      <c r="Q24" s="1"/>
    </row>
    <row r="25" spans="1:23" ht="12.95" customHeight="1" x14ac:dyDescent="0.2">
      <c r="C25" s="9"/>
      <c r="D25" s="9"/>
      <c r="Q25" s="1"/>
    </row>
    <row r="26" spans="1:23" ht="12.95" customHeight="1" x14ac:dyDescent="0.2">
      <c r="C26" s="9"/>
      <c r="D26" s="9"/>
      <c r="Q26" s="1"/>
    </row>
    <row r="27" spans="1:23" ht="12.95" customHeight="1" x14ac:dyDescent="0.2">
      <c r="C27" s="9"/>
      <c r="D27" s="9"/>
      <c r="Q27" s="1"/>
    </row>
    <row r="28" spans="1:23" ht="12.95" customHeight="1" x14ac:dyDescent="0.2">
      <c r="C28" s="9"/>
      <c r="D28" s="9"/>
      <c r="Q28" s="1"/>
    </row>
    <row r="29" spans="1:23" ht="12.95" customHeight="1" x14ac:dyDescent="0.2">
      <c r="C29" s="9"/>
      <c r="D29" s="9"/>
      <c r="Q29" s="1"/>
    </row>
    <row r="30" spans="1:23" ht="12.95" customHeight="1" x14ac:dyDescent="0.2">
      <c r="C30" s="9"/>
      <c r="D30" s="9"/>
      <c r="Q30" s="1"/>
    </row>
    <row r="31" spans="1:23" ht="12.95" customHeight="1" x14ac:dyDescent="0.2">
      <c r="C31" s="9"/>
      <c r="D31" s="9"/>
      <c r="Q31" s="1"/>
    </row>
    <row r="32" spans="1:23" ht="12.95" customHeight="1" x14ac:dyDescent="0.2">
      <c r="C32" s="9"/>
      <c r="D32" s="9"/>
      <c r="Q32" s="1"/>
    </row>
    <row r="33" spans="3:17" ht="12.95" customHeight="1" x14ac:dyDescent="0.2">
      <c r="C33" s="9"/>
      <c r="D33" s="9"/>
      <c r="Q33" s="1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2024-08-14T06:25:06Z</dcterms:modified>
</cp:coreProperties>
</file>