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16184D-C3DF-4CCF-886A-DD255A5C65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3" i="1"/>
  <c r="F23" i="1" s="1"/>
  <c r="G23" i="1" s="1"/>
  <c r="K23" i="1" s="1"/>
  <c r="Q23" i="1"/>
  <c r="E24" i="1"/>
  <c r="F24" i="1" s="1"/>
  <c r="G24" i="1" s="1"/>
  <c r="K24" i="1" s="1"/>
  <c r="Q24" i="1"/>
  <c r="E22" i="1"/>
  <c r="F22" i="1"/>
  <c r="G22" i="1"/>
  <c r="K22" i="1"/>
  <c r="Q22" i="1"/>
  <c r="C9" i="1"/>
  <c r="E21" i="1"/>
  <c r="F21" i="1"/>
  <c r="G21" i="1"/>
  <c r="I21" i="1"/>
  <c r="D9" i="1"/>
  <c r="C17" i="1"/>
  <c r="Q21" i="1"/>
  <c r="C11" i="1"/>
  <c r="C12" i="1"/>
  <c r="F15" i="1" l="1"/>
  <c r="O24" i="1"/>
  <c r="O23" i="1"/>
  <c r="O22" i="1"/>
  <c r="C15" i="1"/>
  <c r="O21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<sst xmlns="http://schemas.openxmlformats.org/spreadsheetml/2006/main" count="65" uniqueCount="58">
  <si>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</si>
  <si>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</si>
  <si>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</si>
  <si>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</si>
  <si>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</si>
  <si>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</si>
  <si>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</si>
  <si>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</si>
  <si>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</si>
  <si>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</si>
  <si>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</si>
  <si>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</si>
  <si>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</si>
  <si>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</si>
  <si>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</si>
  <si>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</si>
  <si>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</si>
  <si>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</si>
  <si>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</si>
  <si>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</si>
  <si>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</si>
  <si>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</si>
  <si>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</si>
  <si>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</si>
  <si>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</si>
  <si>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</si>
  <si>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</si>
  <si>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</si>
  <si>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</si>
  <si>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</si>
  <si>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</si>
  <si>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</si>
  <si>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</si>
  <si>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</si>
  <si>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</si>
  <si>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</si>
  <si>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</si>
  <si>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</si>
  <si>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</si>
  <si>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</si>
  <si>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V0556 Dra</t>
  </si>
  <si>
    <t>2014A</t>
  </si>
  <si>
    <t>G3898-0272</t>
  </si>
  <si>
    <t>EA</t>
  </si>
  <si>
    <t>pr_3?</t>
  </si>
  <si>
    <t>~</t>
  </si>
  <si>
    <t>V0556</t>
  </si>
  <si>
    <t>Dra</t>
  </si>
  <si>
    <t>V0556 Dra / GSC 3898-0272</t>
  </si>
  <si>
    <t>GCVS</t>
  </si>
  <si>
    <t>as of 2020-05-07</t>
  </si>
  <si>
    <t>RHN 2020</t>
  </si>
  <si>
    <t>JBAV, 60</t>
  </si>
  <si>
    <t>I</t>
  </si>
  <si>
    <t xml:space="preserve">Mag </t>
  </si>
  <si>
    <t>Next ToM-P</t>
  </si>
  <si>
    <t>Next ToM-S</t>
  </si>
  <si>
    <t>11.07-11.58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</si>
</sst>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4" fillId="4" borderId="1" xfId="0" quotePrefix="1" applyFont="1" applyFill="1" applyBorder="1">
      <alignment vertical="top"/>
    </xf>
    <xf numFmtId="0" fontId="10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9" fillId="0" borderId="8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15" fillId="5" borderId="6" xfId="0" applyFont="1" applyFill="1" applyBorder="1" applyAlignment="1">
      <alignment horizontal="right" vertical="center"/>
    </xf>
    <xf numFmtId="0" fontId="15" fillId="5" borderId="7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V0556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7231</c:v>
                </c:pt>
                <c:pt idx="2">
                  <c:v>7597</c:v>
                </c:pt>
                <c:pt idx="3">
                  <c:v>7618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36-44DF-A797-A6769C4CC7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7231</c:v>
                </c:pt>
                <c:pt idx="2">
                  <c:v>7597</c:v>
                </c:pt>
                <c:pt idx="3">
                  <c:v>7618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36-44DF-A797-A6769C4CC7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7231</c:v>
                </c:pt>
                <c:pt idx="2">
                  <c:v>7597</c:v>
                </c:pt>
                <c:pt idx="3">
                  <c:v>7618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36-44DF-A797-A6769C4CC7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7231</c:v>
                </c:pt>
                <c:pt idx="2">
                  <c:v>7597</c:v>
                </c:pt>
                <c:pt idx="3">
                  <c:v>7618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-4.0070000002742745E-2</c:v>
                </c:pt>
                <c:pt idx="2">
                  <c:v>-1.5989999999874271E-2</c:v>
                </c:pt>
                <c:pt idx="3">
                  <c:v>-1.4159999998810235E-2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36-44DF-A797-A6769C4CC7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7231</c:v>
                </c:pt>
                <c:pt idx="2">
                  <c:v>7597</c:v>
                </c:pt>
                <c:pt idx="3">
                  <c:v>7618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36-44DF-A797-A6769C4CC7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7231</c:v>
                </c:pt>
                <c:pt idx="2">
                  <c:v>7597</c:v>
                </c:pt>
                <c:pt idx="3">
                  <c:v>7618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36-44DF-A797-A6769C4CC7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1.5E-3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7231</c:v>
                </c:pt>
                <c:pt idx="2">
                  <c:v>7597</c:v>
                </c:pt>
                <c:pt idx="3">
                  <c:v>7618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36-44DF-A797-A6769C4CC7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7231</c:v>
                </c:pt>
                <c:pt idx="2">
                  <c:v>7597</c:v>
                </c:pt>
                <c:pt idx="3">
                  <c:v>7618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-8.787029588757031E-4</c:v>
                </c:pt>
                <c:pt idx="1">
                  <c:v>-2.2367842031663709E-2</c:v>
                </c:pt>
                <c:pt idx="2">
                  <c:v>-2.3455523528087496E-2</c:v>
                </c:pt>
                <c:pt idx="3">
                  <c:v>-2.3517931482800337E-2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36-44DF-A797-A6769C4CC7C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7231</c:v>
                </c:pt>
                <c:pt idx="2">
                  <c:v>7597</c:v>
                </c:pt>
                <c:pt idx="3">
                  <c:v>7618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36-44DF-A797-A6769C4CC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15952"/>
        <c:axId val="1"/>
      </c:scatterChart>
      <c:valAx>
        <c:axId val="690115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15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0B7651-7230-DD13-174C-D8E6180BE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48</v>
      </c>
      <c r="F1" s="35" t="s">
        <v>40</v>
      </c>
      <c r="G1" s="29" t="s">
        <v>41</v>
      </c>
      <c r="H1" s="30"/>
      <c r="I1" s="36" t="s">
        <v>42</v>
      </c>
      <c r="J1" s="35" t="s">
        <v>40</v>
      </c>
      <c r="K1" s="37">
        <v>16.573388000079998</v>
      </c>
      <c r="L1" s="32">
        <v>59.315189998800001</v>
      </c>
      <c r="M1" s="33">
        <v>51415.81</v>
      </c>
      <c r="N1" s="33">
        <v>1.0457700000000001</v>
      </c>
      <c r="O1" s="32" t="s">
        <v>43</v>
      </c>
      <c r="P1" s="32">
        <v>11.2</v>
      </c>
      <c r="Q1" s="32">
        <v>11.7</v>
      </c>
      <c r="R1" s="38" t="s">
        <v>44</v>
      </c>
      <c r="S1" s="39" t="s">
        <v>45</v>
      </c>
      <c r="T1" s="35" t="s">
        <v>46</v>
      </c>
      <c r="U1" s="31" t="s">
        <v>47</v>
      </c>
    </row>
    <row r="2" spans="1:21" ht="12.95" customHeight="1" x14ac:dyDescent="0.2">
      <c r="A2" t="s">
        <v>23</v>
      </c>
      <c r="B2" t="s">
        <v>43</v>
      </c>
      <c r="C2" s="28"/>
      <c r="D2" s="3"/>
    </row>
    <row r="3" spans="1:21" ht="12.95" customHeight="1" thickBot="1" x14ac:dyDescent="0.25"/>
    <row r="4" spans="1:21" ht="12.95" customHeight="1" thickTop="1" thickBot="1" x14ac:dyDescent="0.25">
      <c r="A4" s="5" t="s">
        <v>0</v>
      </c>
      <c r="C4" s="25">
        <v>57531.856</v>
      </c>
      <c r="D4" s="26">
        <v>1.0458400000000001</v>
      </c>
      <c r="E4" s="40" t="s">
        <v>50</v>
      </c>
    </row>
    <row r="5" spans="1:21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1" ht="12.95" customHeight="1" x14ac:dyDescent="0.2">
      <c r="A6" s="5" t="s">
        <v>1</v>
      </c>
    </row>
    <row r="7" spans="1:21" ht="12.95" customHeight="1" x14ac:dyDescent="0.2">
      <c r="A7" t="s">
        <v>2</v>
      </c>
      <c r="C7" s="45">
        <v>51415.81</v>
      </c>
      <c r="D7" s="27" t="s">
        <v>49</v>
      </c>
    </row>
    <row r="8" spans="1:21" ht="12.95" customHeight="1" x14ac:dyDescent="0.2">
      <c r="A8" t="s">
        <v>3</v>
      </c>
      <c r="C8" s="45">
        <v>1.0457700000000001</v>
      </c>
      <c r="D8" s="27" t="s">
        <v>49</v>
      </c>
    </row>
    <row r="9" spans="1:21" ht="12.95" customHeight="1" x14ac:dyDescent="0.2">
      <c r="A9" s="23" t="s">
        <v>31</v>
      </c>
      <c r="B9" s="34">
        <v>21</v>
      </c>
      <c r="C9" s="21" t="str">
        <f>"F"&amp;B9</f>
        <v>F21</v>
      </c>
      <c r="D9" s="22" t="str">
        <f>"G"&amp;B9</f>
        <v>G21</v>
      </c>
    </row>
    <row r="10" spans="1:21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21" ht="12.95" customHeight="1" x14ac:dyDescent="0.2">
      <c r="A11" s="10" t="s">
        <v>15</v>
      </c>
      <c r="B11" s="10"/>
      <c r="C11" s="20">
        <f ca="1">INTERCEPT(INDIRECT($D$9):G992,INDIRECT($C$9):F992)</f>
        <v>-8.787029588757031E-4</v>
      </c>
      <c r="D11" s="3"/>
      <c r="E11" s="10"/>
    </row>
    <row r="12" spans="1:21" ht="12.95" customHeight="1" x14ac:dyDescent="0.2">
      <c r="A12" s="10" t="s">
        <v>16</v>
      </c>
      <c r="B12" s="10"/>
      <c r="C12" s="20">
        <f ca="1">SLOPE(INDIRECT($D$9):G992,INDIRECT($C$9):F992)</f>
        <v>-2.9718073672781091E-6</v>
      </c>
      <c r="D12" s="3"/>
      <c r="E12" s="48" t="s">
        <v>54</v>
      </c>
      <c r="F12" s="49" t="s">
        <v>57</v>
      </c>
    </row>
    <row r="13" spans="1:21" ht="12.95" customHeight="1" x14ac:dyDescent="0.2">
      <c r="A13" s="10" t="s">
        <v>18</v>
      </c>
      <c r="B13" s="10"/>
      <c r="C13" s="3" t="s">
        <v>13</v>
      </c>
      <c r="E13" s="46" t="s">
        <v>33</v>
      </c>
      <c r="F13" s="50">
        <v>1</v>
      </c>
    </row>
    <row r="14" spans="1:21" ht="12.95" customHeight="1" x14ac:dyDescent="0.2">
      <c r="A14" s="10"/>
      <c r="B14" s="10"/>
      <c r="C14" s="10"/>
      <c r="E14" s="46" t="s">
        <v>30</v>
      </c>
      <c r="F14" s="51">
        <f ca="1">NOW()+15018.5+$C$5/24</f>
        <v>60536.785489699068</v>
      </c>
    </row>
    <row r="15" spans="1:21" ht="12.95" customHeight="1" x14ac:dyDescent="0.2">
      <c r="A15" s="12" t="s">
        <v>17</v>
      </c>
      <c r="B15" s="10"/>
      <c r="C15" s="13">
        <f ca="1">(C7+C11)+(C8+C12)*INT(MAX(F21:F3533))</f>
        <v>59382.462342068517</v>
      </c>
      <c r="E15" s="46" t="s">
        <v>34</v>
      </c>
      <c r="F15" s="51">
        <f ca="1">ROUND(2*($F$14-$C$7)/$C$8,0)/2+$F$13</f>
        <v>8723</v>
      </c>
    </row>
    <row r="16" spans="1:21" ht="12.95" customHeight="1" x14ac:dyDescent="0.2">
      <c r="A16" s="15" t="s">
        <v>4</v>
      </c>
      <c r="B16" s="10"/>
      <c r="C16" s="16">
        <f ca="1">+C8+C12</f>
        <v>1.0457670281926328</v>
      </c>
      <c r="E16" s="46" t="s">
        <v>35</v>
      </c>
      <c r="F16" s="51">
        <f ca="1">ROUND(2*($F$14-$C$15)/$C$16,0)/2+$F$13</f>
        <v>1105</v>
      </c>
    </row>
    <row r="17" spans="1:21" ht="12.95" customHeight="1" thickBot="1" x14ac:dyDescent="0.25">
      <c r="A17" s="14" t="s">
        <v>27</v>
      </c>
      <c r="B17" s="10"/>
      <c r="C17" s="10">
        <f>COUNT(C21:C2191)</f>
        <v>4</v>
      </c>
      <c r="E17" s="46" t="s">
        <v>55</v>
      </c>
      <c r="F17" s="52">
        <f ca="1">+$C$15+$C$16*$F$16-15018.5-$C$5/24</f>
        <v>45519.930741554708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59382.462342068517</v>
      </c>
      <c r="D18" s="19">
        <f ca="1">+C16</f>
        <v>1.0457670281926328</v>
      </c>
      <c r="E18" s="47" t="s">
        <v>56</v>
      </c>
      <c r="F18" s="53">
        <f ca="1">+($C$15+$C$16*$F$16)-($C$16/2)-15018.5-$C$5/24</f>
        <v>45519.407858040613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49</v>
      </c>
      <c r="C21" s="8">
        <v>51415.81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-8.787029588757031E-4</v>
      </c>
      <c r="Q21" s="2">
        <f>+C21-15018.5</f>
        <v>36397.31</v>
      </c>
    </row>
    <row r="22" spans="1:21" ht="12.95" customHeight="1" x14ac:dyDescent="0.2">
      <c r="A22" s="5" t="s">
        <v>51</v>
      </c>
      <c r="C22" s="8">
        <v>58977.732799999998</v>
      </c>
      <c r="D22" s="8">
        <v>2.0000000000000001E-4</v>
      </c>
      <c r="E22">
        <f>+(C22-C$7)/C$8</f>
        <v>7230.9616837354288</v>
      </c>
      <c r="F22">
        <f>ROUND(2*E22,0)/2</f>
        <v>7231</v>
      </c>
      <c r="G22">
        <f>+C22-(C$7+F22*C$8)</f>
        <v>-4.0070000002742745E-2</v>
      </c>
      <c r="K22">
        <f>+G22</f>
        <v>-4.0070000002742745E-2</v>
      </c>
      <c r="O22">
        <f ca="1">+C$11+C$12*$F22</f>
        <v>-2.2367842031663709E-2</v>
      </c>
      <c r="Q22" s="2">
        <f>+C22-15018.5</f>
        <v>43959.232799999998</v>
      </c>
    </row>
    <row r="23" spans="1:21" ht="12.95" customHeight="1" x14ac:dyDescent="0.2">
      <c r="A23" s="41" t="s">
        <v>52</v>
      </c>
      <c r="B23" s="42" t="s">
        <v>53</v>
      </c>
      <c r="C23" s="43">
        <v>59360.508699999998</v>
      </c>
      <c r="D23" s="44">
        <v>1.5E-3</v>
      </c>
      <c r="E23">
        <f t="shared" ref="E23:E24" si="0">+(C23-C$7)/C$8</f>
        <v>7596.9847098310338</v>
      </c>
      <c r="F23">
        <f t="shared" ref="F23:F24" si="1">ROUND(2*E23,0)/2</f>
        <v>7597</v>
      </c>
      <c r="G23">
        <f t="shared" ref="G23:G24" si="2">+C23-(C$7+F23*C$8)</f>
        <v>-1.5989999999874271E-2</v>
      </c>
      <c r="K23">
        <f t="shared" ref="K23:K24" si="3">+G23</f>
        <v>-1.5989999999874271E-2</v>
      </c>
      <c r="O23">
        <f t="shared" ref="O23:O24" ca="1" si="4">+C$11+C$12*$F23</f>
        <v>-2.3455523528087496E-2</v>
      </c>
      <c r="Q23" s="2">
        <f t="shared" ref="Q23:Q24" si="5">+C23-15018.5</f>
        <v>44342.008699999998</v>
      </c>
    </row>
    <row r="24" spans="1:21" ht="12.95" customHeight="1" x14ac:dyDescent="0.2">
      <c r="A24" s="41" t="s">
        <v>52</v>
      </c>
      <c r="B24" s="42" t="s">
        <v>53</v>
      </c>
      <c r="C24" s="43">
        <v>59382.471700000002</v>
      </c>
      <c r="D24" s="44">
        <v>1.1000000000000001E-3</v>
      </c>
      <c r="E24">
        <f t="shared" si="0"/>
        <v>7617.9864597378046</v>
      </c>
      <c r="F24">
        <f t="shared" si="1"/>
        <v>7618</v>
      </c>
      <c r="G24">
        <f t="shared" si="2"/>
        <v>-1.4159999998810235E-2</v>
      </c>
      <c r="K24">
        <f t="shared" si="3"/>
        <v>-1.4159999998810235E-2</v>
      </c>
      <c r="O24">
        <f t="shared" ca="1" si="4"/>
        <v>-2.3517931482800337E-2</v>
      </c>
      <c r="Q24" s="2">
        <f t="shared" si="5"/>
        <v>44363.971700000002</v>
      </c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2024-08-14T06:51:06Z</dcterms:modified>
</cp:coreProperties>
</file>