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2D32264-2002-492C-ABDF-46F12D177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 l="1"/>
  <c r="E27" i="1"/>
  <c r="F27" i="1" s="1"/>
  <c r="G27" i="1" s="1"/>
  <c r="J27" i="1" s="1"/>
  <c r="Q27" i="1"/>
  <c r="E28" i="1"/>
  <c r="F28" i="1" s="1"/>
  <c r="G28" i="1" s="1"/>
  <c r="J28" i="1" s="1"/>
  <c r="Q28" i="1"/>
  <c r="E26" i="1"/>
  <c r="F26" i="1"/>
  <c r="G26" i="1"/>
  <c r="J26" i="1" s="1"/>
  <c r="Q26" i="1"/>
  <c r="E25" i="1"/>
  <c r="F25" i="1" s="1"/>
  <c r="G25" i="1" s="1"/>
  <c r="J25" i="1" s="1"/>
  <c r="D9" i="1"/>
  <c r="C9" i="1"/>
  <c r="Q25" i="1"/>
  <c r="E24" i="1"/>
  <c r="F24" i="1" s="1"/>
  <c r="G24" i="1" s="1"/>
  <c r="J24" i="1" s="1"/>
  <c r="Q24" i="1"/>
  <c r="E22" i="1"/>
  <c r="F22" i="1" s="1"/>
  <c r="G22" i="1" s="1"/>
  <c r="J22" i="1" s="1"/>
  <c r="E21" i="1"/>
  <c r="F21" i="1" s="1"/>
  <c r="G21" i="1" s="1"/>
  <c r="H21" i="1" s="1"/>
  <c r="Q22" i="1"/>
  <c r="C17" i="1"/>
  <c r="Q21" i="1"/>
  <c r="C12" i="1"/>
  <c r="C11" i="1"/>
  <c r="O23" i="1" l="1"/>
  <c r="F15" i="1"/>
  <c r="O27" i="1"/>
  <c r="O28" i="1"/>
  <c r="C16" i="1"/>
  <c r="D18" i="1" s="1"/>
  <c r="O22" i="1"/>
  <c r="O26" i="1"/>
  <c r="O25" i="1"/>
  <c r="O24" i="1"/>
  <c r="C15" i="1"/>
  <c r="O21" i="1"/>
  <c r="F16" i="1" l="1"/>
  <c r="F17" i="1" s="1"/>
  <c r="C18" i="1"/>
  <c r="F18" i="1" l="1"/>
  <c r="F19" i="1" s="1"/>
</calcChain>
</file>

<file path=xl/sharedStrings.xml><?xml version="1.0" encoding="utf-8"?>
<sst xmlns="http://schemas.openxmlformats.org/spreadsheetml/2006/main" count="68" uniqueCount="58">
  <si>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</si>
  <si>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</si>
  <si>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</si>
  <si>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</si>
  <si>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</si>
  <si>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</si>
  <si>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</si>
  <si>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</si>
  <si>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</si>
  <si>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</si>
  <si>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</si>
  <si>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</si>
  <si>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</si>
  <si>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</si>
  <si>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</si>
  <si>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</si>
  <si>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</si>
  <si>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</si>
  <si>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</si>
  <si>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</si>
  <si>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</si>
  <si>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</si>
  <si>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</si>
  <si>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</si>
  <si>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</si>
  <si>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</si>
  <si>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</si>
  <si>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</si>
  <si>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</si>
  <si>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</si>
  <si>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</si>
  <si>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</si>
  <si>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</si>
  <si>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</si>
  <si>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</si>
  <si>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</si>
  <si>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</si>
  <si>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</si>
  <si>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</si>
  <si>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Ivan Andronov</t>
  </si>
  <si>
    <t>Ivan Andronov, pc</t>
  </si>
  <si>
    <t>Dra</t>
  </si>
  <si>
    <t>EW</t>
  </si>
  <si>
    <t>Andronov</t>
  </si>
  <si>
    <t>IBVS 6092</t>
  </si>
  <si>
    <t>IBVS 6154</t>
  </si>
  <si>
    <t>IBVS 6234</t>
  </si>
  <si>
    <t>RHN 2019</t>
  </si>
  <si>
    <t>JBAV, 60</t>
  </si>
  <si>
    <t>I</t>
  </si>
  <si>
    <t>V0565 Dra / GSC 3897-1017</t>
  </si>
  <si>
    <t>CCD</t>
  </si>
  <si>
    <t xml:space="preserve">Mag </t>
  </si>
  <si>
    <t>Next ToM-P</t>
  </si>
  <si>
    <t>Next ToM-S</t>
  </si>
  <si>
    <t>11.25-11.57</t>
  </si>
  <si>
    <t>VSX</t>
  </si>
  <si>
    <t>Nelson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</si>
</sst>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/>
    </xf>
    <xf numFmtId="0" fontId="17" fillId="0" borderId="8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5" fillId="0" borderId="0" xfId="0" applyFont="1" applyAlignment="1"/>
    <xf numFmtId="0" fontId="7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V0565 Dra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Andronov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2.9526000071200542E-3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9-4733-908D-A623AE15B6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9-4733-908D-A623AE15B6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2.7188000021851622E-3</c:v>
                </c:pt>
                <c:pt idx="3">
                  <c:v>6.2959000060800463E-3</c:v>
                </c:pt>
                <c:pt idx="4">
                  <c:v>4.6337631574715488E-3</c:v>
                </c:pt>
                <c:pt idx="5">
                  <c:v>6.2401999966823496E-3</c:v>
                </c:pt>
                <c:pt idx="6">
                  <c:v>8.8472999996156432E-3</c:v>
                </c:pt>
                <c:pt idx="7">
                  <c:v>6.957899997360073E-3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9-4733-908D-A623AE15B6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9-4733-908D-A623AE15B6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9-4733-908D-A623AE15B6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9-4733-908D-A623AE15B6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1.6999999999999999E-3</c:v>
                  </c:pt>
                  <c:pt idx="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9-4733-908D-A623AE15B6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1.1826340091598908E-3</c:v>
                </c:pt>
                <c:pt idx="1">
                  <c:v>4.3780221938515941E-3</c:v>
                </c:pt>
                <c:pt idx="2">
                  <c:v>4.6407669498603607E-3</c:v>
                </c:pt>
                <c:pt idx="3">
                  <c:v>4.8503850176321731E-3</c:v>
                </c:pt>
                <c:pt idx="4">
                  <c:v>5.3124490507852574E-3</c:v>
                </c:pt>
                <c:pt idx="5">
                  <c:v>5.7437423070635105E-3</c:v>
                </c:pt>
                <c:pt idx="6">
                  <c:v>6.2537836331398016E-3</c:v>
                </c:pt>
                <c:pt idx="7">
                  <c:v>6.2846800050222855E-3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9-4733-908D-A623AE15B6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-13767</c:v>
                </c:pt>
                <c:pt idx="1">
                  <c:v>-1046</c:v>
                </c:pt>
                <c:pt idx="2">
                  <c:v>0</c:v>
                </c:pt>
                <c:pt idx="3">
                  <c:v>834.5</c:v>
                </c:pt>
                <c:pt idx="4">
                  <c:v>2674</c:v>
                </c:pt>
                <c:pt idx="5">
                  <c:v>4391</c:v>
                </c:pt>
                <c:pt idx="6">
                  <c:v>6421.5</c:v>
                </c:pt>
                <c:pt idx="7">
                  <c:v>6544.5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9-4733-908D-A623AE15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39568"/>
        <c:axId val="1"/>
      </c:scatterChart>
      <c:valAx>
        <c:axId val="69013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9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97937099967764"/>
          <c:w val="0.7864661654135338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3229DA-56C2-78E2-E189-A6DF31D2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50</v>
      </c>
    </row>
    <row r="2" spans="1:6" x14ac:dyDescent="0.2">
      <c r="A2" t="s">
        <v>23</v>
      </c>
      <c r="B2" t="s">
        <v>42</v>
      </c>
      <c r="C2" s="3"/>
      <c r="D2" s="3" t="s">
        <v>41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38</v>
      </c>
      <c r="D4" s="27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6" x14ac:dyDescent="0.2">
      <c r="A6" s="5" t="s">
        <v>1</v>
      </c>
      <c r="E6" s="43" t="s">
        <v>39</v>
      </c>
    </row>
    <row r="7" spans="1:6" x14ac:dyDescent="0.2">
      <c r="A7" t="s">
        <v>2</v>
      </c>
      <c r="C7" s="32">
        <v>56826.065199999997</v>
      </c>
      <c r="D7" s="42" t="s">
        <v>56</v>
      </c>
      <c r="E7" s="44">
        <v>51452.563000000002</v>
      </c>
    </row>
    <row r="8" spans="1:6" x14ac:dyDescent="0.2">
      <c r="A8" t="s">
        <v>3</v>
      </c>
      <c r="C8" s="32">
        <v>0.39031779999999999</v>
      </c>
      <c r="D8" s="42" t="s">
        <v>56</v>
      </c>
      <c r="E8" s="45">
        <v>0.39031650000000001</v>
      </c>
    </row>
    <row r="9" spans="1:6" x14ac:dyDescent="0.2">
      <c r="A9" s="23" t="s">
        <v>33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INTERCEPT(INDIRECT($D$9):G992,INDIRECT($C$9):F992)</f>
        <v>4.6407669498603607E-3</v>
      </c>
      <c r="D11" s="3"/>
      <c r="E11" s="10"/>
    </row>
    <row r="12" spans="1:6" x14ac:dyDescent="0.2">
      <c r="A12" s="10" t="s">
        <v>16</v>
      </c>
      <c r="B12" s="10"/>
      <c r="C12" s="20">
        <f ca="1">SLOPE(INDIRECT($D$9):G992,INDIRECT($C$9):F992)</f>
        <v>2.5119001530474828E-7</v>
      </c>
      <c r="D12" s="3"/>
      <c r="E12" s="35" t="s">
        <v>52</v>
      </c>
      <c r="F12" s="36" t="s">
        <v>55</v>
      </c>
    </row>
    <row r="13" spans="1:6" x14ac:dyDescent="0.2">
      <c r="A13" s="10" t="s">
        <v>18</v>
      </c>
      <c r="B13" s="10"/>
      <c r="C13" s="3" t="s">
        <v>13</v>
      </c>
      <c r="E13" s="33" t="s">
        <v>35</v>
      </c>
      <c r="F13" s="37">
        <v>1</v>
      </c>
    </row>
    <row r="14" spans="1:6" x14ac:dyDescent="0.2">
      <c r="A14" s="10"/>
      <c r="B14" s="10"/>
      <c r="C14" s="10"/>
      <c r="E14" s="33" t="s">
        <v>31</v>
      </c>
      <c r="F14" s="38">
        <f ca="1">NOW()+15018.5+$C$5/24</f>
        <v>60536.792703356477</v>
      </c>
    </row>
    <row r="15" spans="1:6" x14ac:dyDescent="0.2">
      <c r="A15" s="12" t="s">
        <v>17</v>
      </c>
      <c r="B15" s="10"/>
      <c r="C15" s="13">
        <f ca="1">(C7+C11)+(C8+C12)*INT(MAX(F21:F3533))</f>
        <v>59380.311167754408</v>
      </c>
      <c r="E15" s="33" t="s">
        <v>36</v>
      </c>
      <c r="F15" s="38">
        <f ca="1">ROUND(2*($F$14-$C$7)/$C$8,0)/2+$F$13</f>
        <v>9508</v>
      </c>
    </row>
    <row r="16" spans="1:6" x14ac:dyDescent="0.2">
      <c r="A16" s="15" t="s">
        <v>4</v>
      </c>
      <c r="B16" s="10"/>
      <c r="C16" s="16">
        <f ca="1">+C8+C12</f>
        <v>0.39031805119001528</v>
      </c>
      <c r="E16" s="33" t="s">
        <v>37</v>
      </c>
      <c r="F16" s="38">
        <f ca="1">ROUND(2*($F$14-$C$15)/$C$16,0)/2+$F$13</f>
        <v>2964</v>
      </c>
    </row>
    <row r="17" spans="1:23" ht="13.5" thickBot="1" x14ac:dyDescent="0.25">
      <c r="A17" s="14" t="s">
        <v>28</v>
      </c>
      <c r="B17" s="10"/>
      <c r="C17" s="10">
        <f>COUNT(C21:C2191)</f>
        <v>8</v>
      </c>
      <c r="E17" s="33" t="s">
        <v>53</v>
      </c>
      <c r="F17" s="39">
        <f ca="1">+$C$15+$C$16*$F$16-15018.5-$C$5/24</f>
        <v>45519.109704814946</v>
      </c>
    </row>
    <row r="18" spans="1:23" ht="14.25" thickTop="1" thickBot="1" x14ac:dyDescent="0.25">
      <c r="A18" s="15" t="s">
        <v>5</v>
      </c>
      <c r="B18" s="10"/>
      <c r="C18" s="18">
        <f ca="1">+C15</f>
        <v>59380.311167754408</v>
      </c>
      <c r="D18" s="19">
        <f ca="1">+C16</f>
        <v>0.39031805119001528</v>
      </c>
      <c r="E18" s="34" t="s">
        <v>54</v>
      </c>
      <c r="F18" s="40">
        <f ca="1">+($C$15+$C$16*$F$16)-($C$16/2)-15018.5-$C$5/24</f>
        <v>45518.914545789354</v>
      </c>
    </row>
    <row r="19" spans="1:23" ht="13.5" thickTop="1" x14ac:dyDescent="0.2">
      <c r="E19" s="14" t="s">
        <v>32</v>
      </c>
      <c r="F19" s="17">
        <f ca="1">+$C$15+$C$16*F18-15018.5-$C$5/24</f>
        <v>62129.061018885077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56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23" x14ac:dyDescent="0.2">
      <c r="A21" s="28" t="s">
        <v>40</v>
      </c>
      <c r="C21" s="8">
        <v>51452.563000000002</v>
      </c>
      <c r="D21" s="8" t="s">
        <v>13</v>
      </c>
      <c r="E21">
        <f>+(C21-C$7)/C$8</f>
        <v>-13766.992435394941</v>
      </c>
      <c r="F21">
        <f>ROUND(2*E21,0)/2</f>
        <v>-13767</v>
      </c>
      <c r="G21">
        <f>+C21-(C$7+F21*C$8)</f>
        <v>2.9526000071200542E-3</v>
      </c>
      <c r="H21">
        <f>+G21</f>
        <v>2.9526000071200542E-3</v>
      </c>
      <c r="O21">
        <f ca="1">+C$11+C$12*$F21</f>
        <v>1.1826340091598908E-3</v>
      </c>
      <c r="Q21" s="2">
        <f>+C21-15018.5</f>
        <v>36434.063000000002</v>
      </c>
    </row>
    <row r="22" spans="1:23" x14ac:dyDescent="0.2">
      <c r="A22" s="5" t="s">
        <v>44</v>
      </c>
      <c r="C22" s="8">
        <v>56417.7955</v>
      </c>
      <c r="D22" s="8">
        <v>2.9999999999999997E-4</v>
      </c>
      <c r="E22">
        <f>+(C22-C$7)/C$8</f>
        <v>-1045.9930343940171</v>
      </c>
      <c r="F22">
        <f>ROUND(2*E22,0)/2</f>
        <v>-1046</v>
      </c>
      <c r="G22">
        <f>+C22-(C$7+F22*C$8)</f>
        <v>2.7188000021851622E-3</v>
      </c>
      <c r="J22">
        <f>+G22</f>
        <v>2.7188000021851622E-3</v>
      </c>
      <c r="O22">
        <f ca="1">+C$11+C$12*$F22</f>
        <v>4.3780221938515941E-3</v>
      </c>
      <c r="Q22" s="2">
        <f>+C22-15018.5</f>
        <v>41399.2955</v>
      </c>
      <c r="W22" s="41" t="s">
        <v>57</v>
      </c>
    </row>
    <row r="23" spans="1:23" x14ac:dyDescent="0.2">
      <c r="A23" s="41" t="s">
        <v>56</v>
      </c>
      <c r="C23" s="8">
        <v>56826.065199999997</v>
      </c>
      <c r="D23" s="8"/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4.6407669498603607E-3</v>
      </c>
      <c r="Q23" s="2">
        <f>+C23-15018.5</f>
        <v>41807.565199999997</v>
      </c>
    </row>
    <row r="24" spans="1:23" x14ac:dyDescent="0.2">
      <c r="A24" s="5" t="s">
        <v>45</v>
      </c>
      <c r="C24" s="8">
        <v>57151.791700000002</v>
      </c>
      <c r="D24" s="8">
        <v>2.9999999999999997E-4</v>
      </c>
      <c r="E24">
        <f>+(C24-C$7)/C$8</f>
        <v>834.51613018930811</v>
      </c>
      <c r="F24">
        <f>ROUND(2*E24,0)/2</f>
        <v>834.5</v>
      </c>
      <c r="G24">
        <f>+C24-(C$7+F24*C$8)</f>
        <v>6.2959000060800463E-3</v>
      </c>
      <c r="J24">
        <f>+G24</f>
        <v>6.2959000060800463E-3</v>
      </c>
      <c r="O24">
        <f ca="1">+C$11+C$12*$F24</f>
        <v>4.8503850176321731E-3</v>
      </c>
      <c r="Q24" s="2">
        <f>+C24-15018.5</f>
        <v>42133.291700000002</v>
      </c>
      <c r="W24" s="41" t="s">
        <v>57</v>
      </c>
    </row>
    <row r="25" spans="1:23" x14ac:dyDescent="0.2">
      <c r="A25" s="5" t="s">
        <v>46</v>
      </c>
      <c r="C25" s="8">
        <v>57869.779630963152</v>
      </c>
      <c r="D25" s="8">
        <v>2.0000000000000001E-4</v>
      </c>
      <c r="E25">
        <f>+(C25-C$7)/C$8</f>
        <v>2674.0118717700166</v>
      </c>
      <c r="F25">
        <f>ROUND(2*E25,0)/2</f>
        <v>2674</v>
      </c>
      <c r="G25">
        <f>+C25-(C$7+F25*C$8)</f>
        <v>4.6337631574715488E-3</v>
      </c>
      <c r="J25">
        <f>+G25</f>
        <v>4.6337631574715488E-3</v>
      </c>
      <c r="O25">
        <f ca="1">+C$11+C$12*$F25</f>
        <v>5.3124490507852574E-3</v>
      </c>
      <c r="Q25" s="2">
        <f>+C25-15018.5</f>
        <v>42851.279630963152</v>
      </c>
      <c r="W25" s="41" t="s">
        <v>57</v>
      </c>
    </row>
    <row r="26" spans="1:23" x14ac:dyDescent="0.2">
      <c r="A26" s="5" t="s">
        <v>47</v>
      </c>
      <c r="C26" s="8">
        <v>58539.956899999997</v>
      </c>
      <c r="D26" s="8">
        <v>4.0000000000000002E-4</v>
      </c>
      <c r="E26">
        <f>+(C26-C$7)/C$8</f>
        <v>4391.0159874850706</v>
      </c>
      <c r="F26">
        <f>ROUND(2*E26,0)/2</f>
        <v>4391</v>
      </c>
      <c r="G26">
        <f>+C26-(C$7+F26*C$8)</f>
        <v>6.2401999966823496E-3</v>
      </c>
      <c r="J26">
        <f>+G26</f>
        <v>6.2401999966823496E-3</v>
      </c>
      <c r="O26">
        <f ca="1">+C$11+C$12*$F26</f>
        <v>5.7437423070635105E-3</v>
      </c>
      <c r="Q26" s="2">
        <f>+C26-15018.5</f>
        <v>43521.456899999997</v>
      </c>
      <c r="W26" s="41" t="s">
        <v>57</v>
      </c>
    </row>
    <row r="27" spans="1:23" x14ac:dyDescent="0.2">
      <c r="A27" s="29" t="s">
        <v>48</v>
      </c>
      <c r="B27" s="30" t="s">
        <v>49</v>
      </c>
      <c r="C27" s="31">
        <v>59332.499799999998</v>
      </c>
      <c r="D27" s="29">
        <v>1.6999999999999999E-3</v>
      </c>
      <c r="E27">
        <f>+(C27-C$7)/C$8</f>
        <v>6421.5226669139884</v>
      </c>
      <c r="F27">
        <f>ROUND(2*E27,0)/2</f>
        <v>6421.5</v>
      </c>
      <c r="G27">
        <f>+C27-(C$7+F27*C$8)</f>
        <v>8.8472999996156432E-3</v>
      </c>
      <c r="J27">
        <f>+G27</f>
        <v>8.8472999996156432E-3</v>
      </c>
      <c r="O27">
        <f ca="1">+C$11+C$12*$F27</f>
        <v>6.2537836331398016E-3</v>
      </c>
      <c r="Q27" s="2">
        <f>+C27-15018.5</f>
        <v>44313.999799999998</v>
      </c>
    </row>
    <row r="28" spans="1:23" x14ac:dyDescent="0.2">
      <c r="A28" s="29" t="s">
        <v>48</v>
      </c>
      <c r="B28" s="30" t="s">
        <v>49</v>
      </c>
      <c r="C28" s="31">
        <v>59380.506999999998</v>
      </c>
      <c r="D28" s="29">
        <v>1.5E-3</v>
      </c>
      <c r="E28">
        <f>+(C28-C$7)/C$8</f>
        <v>6544.5178262431291</v>
      </c>
      <c r="F28">
        <f>ROUND(2*E28,0)/2</f>
        <v>6544.5</v>
      </c>
      <c r="G28">
        <f>+C28-(C$7+F28*C$8)</f>
        <v>6.957899997360073E-3</v>
      </c>
      <c r="J28">
        <f>+G28</f>
        <v>6.957899997360073E-3</v>
      </c>
      <c r="O28">
        <f ca="1">+C$11+C$12*$F28</f>
        <v>6.2846800050222855E-3</v>
      </c>
      <c r="Q28" s="2">
        <f>+C28-15018.5</f>
        <v>44362.006999999998</v>
      </c>
    </row>
    <row r="29" spans="1:23" x14ac:dyDescent="0.2">
      <c r="C29" s="8"/>
      <c r="D29" s="8"/>
      <c r="Q29" s="2"/>
    </row>
    <row r="30" spans="1:23" x14ac:dyDescent="0.2">
      <c r="C30" s="8"/>
      <c r="D30" s="8"/>
      <c r="Q30" s="2"/>
    </row>
    <row r="31" spans="1:23" x14ac:dyDescent="0.2">
      <c r="C31" s="8"/>
      <c r="D31" s="8"/>
      <c r="Q31" s="2"/>
    </row>
    <row r="32" spans="1:23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4">
    <sortCondition ref="C21:C34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2024-08-14T07:01:29Z</dcterms:modified>
</cp:coreProperties>
</file>