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307D534-E15E-4569-BC35-4EBDFAACAC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C17" i="1"/>
  <c r="Q21" i="1"/>
  <c r="C12" i="1"/>
  <c r="F15" i="1" l="1"/>
  <c r="C16" i="1"/>
  <c r="D18" i="1" s="1"/>
  <c r="C11" i="1"/>
  <c r="O21" i="1" l="1"/>
  <c r="S21" i="1" s="1"/>
  <c r="O22" i="1"/>
  <c r="S22" i="1" s="1"/>
  <c r="O23" i="1"/>
  <c r="S23" i="1" s="1"/>
  <c r="C15" i="1"/>
  <c r="F16" i="1" l="1"/>
  <c r="F18" i="1" s="1"/>
  <c r="C18" i="1"/>
  <c r="S19" i="1"/>
  <c r="F17" i="1" l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<sst xmlns="http://schemas.openxmlformats.org/spreadsheetml/2006/main" count="56" uniqueCount="52">
  <si>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</si>
  <si>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</si>
  <si>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</si>
  <si>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</si>
  <si>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</si>
  <si>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</si>
  <si>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</si>
  <si>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</si>
  <si>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</si>
  <si>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</si>
  <si>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</si>
  <si>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</si>
  <si>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</si>
  <si>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</si>
  <si>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</si>
  <si>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</si>
  <si>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</si>
  <si>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</si>
  <si>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</si>
  <si>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</si>
  <si>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</si>
  <si>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</si>
  <si>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</si>
  <si>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</si>
  <si>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</si>
  <si>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</si>
  <si>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</si>
  <si>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</si>
  <si>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</si>
  <si>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</si>
  <si>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</si>
  <si>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</si>
  <si>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</si>
  <si>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</si>
  <si>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</si>
  <si>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</si>
  <si>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</si>
  <si>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</si>
  <si>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</si>
  <si>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G0537-1462</t>
  </si>
  <si>
    <t>GSC 0537-1462</t>
  </si>
  <si>
    <t>G0537-1462_Equ.xls</t>
  </si>
  <si>
    <t>Equ</t>
  </si>
  <si>
    <t>VSX</t>
  </si>
  <si>
    <t>IBVS 6011</t>
  </si>
  <si>
    <t>I</t>
  </si>
  <si>
    <t>IBVS 6042</t>
  </si>
  <si>
    <t>CCD</t>
  </si>
  <si>
    <t xml:space="preserve">Mag </t>
  </si>
  <si>
    <t>Next ToM-P</t>
  </si>
  <si>
    <t>Next ToM-S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</si>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</sst>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  <xf numFmtId="0" fontId="18" fillId="0" borderId="7" xfId="0" applyFont="1" applyBorder="1" applyAlignment="1">
      <alignment horizontal="right" vertical="center"/>
    </xf>
    <xf numFmtId="22" fontId="18" fillId="0" borderId="7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7" fillId="3" borderId="5" xfId="0" applyFont="1" applyFill="1" applyBorder="1" applyAlignment="1">
      <alignment horizontal="right" vertical="center"/>
    </xf>
    <xf numFmtId="0" fontId="17" fillId="3" borderId="6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22" fontId="20" fillId="0" borderId="8" xfId="0" applyNumberFormat="1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0537-1462 -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3537</c:v>
                </c:pt>
                <c:pt idx="2">
                  <c:v>4704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36-4F61-A105-5E3F3F1499D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3537</c:v>
                </c:pt>
                <c:pt idx="2">
                  <c:v>4704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9.5140002158586867E-3</c:v>
                </c:pt>
                <c:pt idx="2">
                  <c:v>1.0988000220095273E-2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36-4F61-A105-5E3F3F1499D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3537</c:v>
                </c:pt>
                <c:pt idx="2">
                  <c:v>4704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36-4F61-A105-5E3F3F1499D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3537</c:v>
                </c:pt>
                <c:pt idx="2">
                  <c:v>4704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36-4F61-A105-5E3F3F1499D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3537</c:v>
                </c:pt>
                <c:pt idx="2">
                  <c:v>4704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36-4F61-A105-5E3F3F1499D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3537</c:v>
                </c:pt>
                <c:pt idx="2">
                  <c:v>4704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36-4F61-A105-5E3F3F1499D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3537</c:v>
                </c:pt>
                <c:pt idx="2">
                  <c:v>4704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36-4F61-A105-5E3F3F1499D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3537</c:v>
                </c:pt>
                <c:pt idx="2">
                  <c:v>4704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5.0465297660002408E-3</c:v>
                </c:pt>
                <c:pt idx="1">
                  <c:v>9.5140002158586867E-3</c:v>
                </c:pt>
                <c:pt idx="2">
                  <c:v>1.0988000220095273E-2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36-4F61-A105-5E3F3F1499D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3537</c:v>
                </c:pt>
                <c:pt idx="2">
                  <c:v>4704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136-4F61-A105-5E3F3F149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395360"/>
        <c:axId val="1"/>
      </c:scatterChart>
      <c:valAx>
        <c:axId val="522395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2395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18</xdr:col>
      <xdr:colOff>47625</xdr:colOff>
      <xdr:row>18</xdr:row>
      <xdr:rowOff>152400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901638A5-803B-F78F-424E-F2C1917760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" sqref="E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4257812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  <c r="E1" t="s">
        <v>41</v>
      </c>
    </row>
    <row r="2" spans="1:7" ht="12.95" customHeight="1" x14ac:dyDescent="0.2">
      <c r="A2" t="s">
        <v>23</v>
      </c>
      <c r="B2">
        <v>0</v>
      </c>
      <c r="C2" s="28" t="s">
        <v>38</v>
      </c>
      <c r="D2" s="3" t="s">
        <v>42</v>
      </c>
      <c r="E2" s="29" t="s">
        <v>39</v>
      </c>
      <c r="F2" t="e">
        <v>#N/A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5" t="s">
        <v>37</v>
      </c>
      <c r="D4" s="26" t="s">
        <v>37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5">
        <v>54764.56399999978</v>
      </c>
      <c r="D7" s="27" t="s">
        <v>43</v>
      </c>
    </row>
    <row r="8" spans="1:7" ht="12.95" customHeight="1" x14ac:dyDescent="0.2">
      <c r="A8" t="s">
        <v>3</v>
      </c>
      <c r="C8" s="35">
        <v>0.30847799999999997</v>
      </c>
      <c r="D8" s="27" t="s">
        <v>43</v>
      </c>
    </row>
    <row r="9" spans="1:7" ht="12.95" customHeight="1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7" ht="12.95" customHeight="1" x14ac:dyDescent="0.2">
      <c r="A11" s="10" t="s">
        <v>15</v>
      </c>
      <c r="B11" s="10"/>
      <c r="C11" s="19">
        <f ca="1">INTERCEPT(INDIRECT($G$11):G992,INDIRECT($F$11):F992)</f>
        <v>5.0465297660002408E-3</v>
      </c>
      <c r="D11" s="3"/>
      <c r="E11" s="10"/>
      <c r="F11" s="20" t="str">
        <f>"F"&amp;E19</f>
        <v>F22</v>
      </c>
      <c r="G11" s="21" t="str">
        <f>"G"&amp;E19</f>
        <v>G22</v>
      </c>
    </row>
    <row r="12" spans="1:7" ht="12.95" customHeight="1" x14ac:dyDescent="0.2">
      <c r="A12" s="10" t="s">
        <v>16</v>
      </c>
      <c r="B12" s="10"/>
      <c r="C12" s="19">
        <f ca="1">SLOPE(INDIRECT($G$11):G992,INDIRECT($F$11):F992)</f>
        <v>1.2630676985746241E-6</v>
      </c>
      <c r="D12" s="3"/>
      <c r="E12" s="39" t="s">
        <v>48</v>
      </c>
      <c r="F12" s="40"/>
    </row>
    <row r="13" spans="1:7" ht="12.95" customHeight="1" x14ac:dyDescent="0.2">
      <c r="A13" s="10" t="s">
        <v>18</v>
      </c>
      <c r="B13" s="10"/>
      <c r="C13" s="3" t="s">
        <v>13</v>
      </c>
      <c r="D13" s="14"/>
      <c r="E13" s="36" t="s">
        <v>34</v>
      </c>
      <c r="F13" s="41">
        <v>1</v>
      </c>
    </row>
    <row r="14" spans="1:7" ht="12.95" customHeight="1" x14ac:dyDescent="0.2">
      <c r="A14" s="10"/>
      <c r="B14" s="10"/>
      <c r="C14" s="10"/>
      <c r="D14" s="14"/>
      <c r="E14" s="36" t="s">
        <v>31</v>
      </c>
      <c r="F14" s="42">
        <f ca="1">NOW()+15018.5+$C$9/24</f>
        <v>60536.827070254629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56215.655500000001</v>
      </c>
      <c r="D15" s="14"/>
      <c r="E15" s="36" t="s">
        <v>35</v>
      </c>
      <c r="F15" s="42">
        <f ca="1">ROUND(2*($F$14-$C$7)/$C$8,0)/2+$F$13</f>
        <v>18713</v>
      </c>
    </row>
    <row r="16" spans="1:7" ht="12.95" customHeight="1" x14ac:dyDescent="0.2">
      <c r="A16" s="15" t="s">
        <v>4</v>
      </c>
      <c r="B16" s="10"/>
      <c r="C16" s="16">
        <f ca="1">+C8+C12</f>
        <v>0.30847926306769857</v>
      </c>
      <c r="D16" s="14"/>
      <c r="E16" s="36" t="s">
        <v>36</v>
      </c>
      <c r="F16" s="42">
        <f ca="1">ROUND(2*($F$14-$C$15)/$C$16,0)/2+$F$13</f>
        <v>14009</v>
      </c>
    </row>
    <row r="17" spans="1:19" ht="12.95" customHeight="1" thickBot="1" x14ac:dyDescent="0.25">
      <c r="A17" s="14" t="s">
        <v>28</v>
      </c>
      <c r="B17" s="10"/>
      <c r="C17" s="10">
        <f>COUNT(C21:C2191)</f>
        <v>3</v>
      </c>
      <c r="D17" s="14"/>
      <c r="E17" s="37" t="s">
        <v>49</v>
      </c>
      <c r="F17" s="43">
        <f ca="1">+$C$15+$C$16*$F$16-15018.5-$C$9/24</f>
        <v>45519.037329648723</v>
      </c>
    </row>
    <row r="18" spans="1:19" ht="12.95" customHeight="1" thickTop="1" thickBot="1" x14ac:dyDescent="0.25">
      <c r="A18" s="15" t="s">
        <v>5</v>
      </c>
      <c r="B18" s="10"/>
      <c r="C18" s="17">
        <f ca="1">+C15</f>
        <v>56215.655500000001</v>
      </c>
      <c r="D18" s="18">
        <f ca="1">+C16</f>
        <v>0.30847926306769857</v>
      </c>
      <c r="E18" s="38" t="s">
        <v>50</v>
      </c>
      <c r="F18" s="44">
        <f ca="1">+($C$15+$C$16*$F$16)-($C$16/2)-15018.5-$C$9/24</f>
        <v>45518.883090017189</v>
      </c>
    </row>
    <row r="19" spans="1:19" ht="12.95" customHeight="1" thickTop="1" x14ac:dyDescent="0.2">
      <c r="A19" s="22" t="s">
        <v>32</v>
      </c>
      <c r="E19" s="23">
        <v>22</v>
      </c>
      <c r="S19">
        <f ca="1">SQRT(SUM(S21:S50)/(COUNT(S21:S50)-1))</f>
        <v>3.5684354189985312E-3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51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9" ht="12.95" customHeight="1" x14ac:dyDescent="0.2">
      <c r="A21" t="str">
        <f>D7</f>
        <v>VSX</v>
      </c>
      <c r="C21" s="8">
        <f>C$7</f>
        <v>54764.56399999978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5.0465297660002408E-3</v>
      </c>
      <c r="Q21" s="2">
        <f>+C21-15018.5</f>
        <v>39746.06399999978</v>
      </c>
      <c r="S21">
        <f ca="1">+(O21-G21)^2</f>
        <v>2.5467462679126445E-5</v>
      </c>
    </row>
    <row r="22" spans="1:19" ht="12.95" customHeight="1" x14ac:dyDescent="0.2">
      <c r="A22" s="30" t="s">
        <v>44</v>
      </c>
      <c r="B22" s="31" t="s">
        <v>45</v>
      </c>
      <c r="C22" s="30">
        <v>55855.660199999998</v>
      </c>
      <c r="D22" s="30">
        <v>5.9999999999999995E-4</v>
      </c>
      <c r="E22">
        <f>+(C22-C$7)/C$8</f>
        <v>3537.0308417463102</v>
      </c>
      <c r="F22">
        <f>ROUND(2*E22,0)/2</f>
        <v>3537</v>
      </c>
      <c r="G22">
        <f>+C22-(C$7+F22*C$8)</f>
        <v>9.5140002158586867E-3</v>
      </c>
      <c r="I22">
        <f>+G22</f>
        <v>9.5140002158586867E-3</v>
      </c>
      <c r="O22">
        <f ca="1">+C$11+C$12*$F22</f>
        <v>9.5140002158586867E-3</v>
      </c>
      <c r="Q22" s="2">
        <f>+C22-15018.5</f>
        <v>40837.160199999998</v>
      </c>
      <c r="S22">
        <f ca="1">+(O22-G22)^2</f>
        <v>0</v>
      </c>
    </row>
    <row r="23" spans="1:19" ht="12.95" customHeight="1" x14ac:dyDescent="0.2">
      <c r="A23" s="32" t="s">
        <v>46</v>
      </c>
      <c r="B23" s="33" t="s">
        <v>45</v>
      </c>
      <c r="C23" s="34">
        <v>56215.655500000001</v>
      </c>
      <c r="D23" s="34">
        <v>4.0000000000000002E-4</v>
      </c>
      <c r="E23">
        <f>+(C23-C$7)/C$8</f>
        <v>4704.0356200449323</v>
      </c>
      <c r="F23">
        <f>ROUND(2*E23,0)/2</f>
        <v>4704</v>
      </c>
      <c r="G23">
        <f>+C23-(C$7+F23*C$8)</f>
        <v>1.0988000220095273E-2</v>
      </c>
      <c r="I23">
        <f>+G23</f>
        <v>1.0988000220095273E-2</v>
      </c>
      <c r="O23">
        <f ca="1">+C$11+C$12*$F23</f>
        <v>1.0988000220095273E-2</v>
      </c>
      <c r="Q23" s="2">
        <f>+C23-15018.5</f>
        <v>41197.155500000001</v>
      </c>
      <c r="S23">
        <f ca="1">+(O23-G23)^2</f>
        <v>0</v>
      </c>
    </row>
    <row r="24" spans="1:19" ht="12.95" customHeight="1" x14ac:dyDescent="0.2">
      <c r="C24" s="8"/>
      <c r="D24" s="8"/>
      <c r="Q24" s="2"/>
    </row>
    <row r="25" spans="1:19" ht="12.95" customHeight="1" x14ac:dyDescent="0.2">
      <c r="C25" s="8"/>
      <c r="D25" s="8"/>
      <c r="Q25" s="2"/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ht="12.95" customHeight="1" x14ac:dyDescent="0.2">
      <c r="C31" s="8"/>
      <c r="D31" s="8"/>
      <c r="Q31" s="2"/>
    </row>
    <row r="32" spans="1:19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2024-08-14T07:50:58Z</dcterms:modified>
</cp:coreProperties>
</file>